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30" windowWidth="15360" windowHeight="8805" activeTab="0"/>
  </bookViews>
  <sheets>
    <sheet name="Tabelle1" sheetId="1" r:id="rId1"/>
    <sheet name="Tabelle2" sheetId="2" state="hidden" r:id="rId2"/>
  </sheets>
  <definedNames/>
  <calcPr fullCalcOnLoad="1"/>
</workbook>
</file>

<file path=xl/sharedStrings.xml><?xml version="1.0" encoding="utf-8"?>
<sst xmlns="http://schemas.openxmlformats.org/spreadsheetml/2006/main" count="95" uniqueCount="75">
  <si>
    <t>Gebäudetyp:</t>
  </si>
  <si>
    <t>1 = EFH, 2 = MFH</t>
  </si>
  <si>
    <t>Thermostatventile:</t>
  </si>
  <si>
    <t>1 = nicht voreinstellbar, 2 = Voreinstellbar</t>
  </si>
  <si>
    <t>Druckregelung</t>
  </si>
  <si>
    <t>1 = nicht einstellbar, 2 = einstellbar</t>
  </si>
  <si>
    <t>Anlagentyp 1</t>
  </si>
  <si>
    <t>Anlagentyp 2</t>
  </si>
  <si>
    <t>Anlagentyp 3</t>
  </si>
  <si>
    <t>Anlagentyp 4</t>
  </si>
  <si>
    <t>Gebäudefläche</t>
  </si>
  <si>
    <t>m²</t>
  </si>
  <si>
    <t>Fläche</t>
  </si>
  <si>
    <t>Kostenfunktionen</t>
  </si>
  <si>
    <t>von</t>
  </si>
  <si>
    <t>bis</t>
  </si>
  <si>
    <t>Wahr?</t>
  </si>
  <si>
    <t>Gebäude</t>
  </si>
  <si>
    <t>Typ</t>
  </si>
  <si>
    <t>Produkt</t>
  </si>
  <si>
    <t>aktuelle Fläche</t>
  </si>
  <si>
    <t>Kosten?</t>
  </si>
  <si>
    <t>Auswahl?</t>
  </si>
  <si>
    <t>€/m²</t>
  </si>
  <si>
    <t>Zins</t>
  </si>
  <si>
    <t>Laufzeit</t>
  </si>
  <si>
    <t>%/a</t>
  </si>
  <si>
    <t>a</t>
  </si>
  <si>
    <t>p</t>
  </si>
  <si>
    <t>p*</t>
  </si>
  <si>
    <t>se</t>
  </si>
  <si>
    <t>se*</t>
  </si>
  <si>
    <t>n</t>
  </si>
  <si>
    <t>ap,n</t>
  </si>
  <si>
    <t>mE</t>
  </si>
  <si>
    <t>ke,0</t>
  </si>
  <si>
    <t>thermisch</t>
  </si>
  <si>
    <t>ohne MWST</t>
  </si>
  <si>
    <t>elektrisch</t>
  </si>
  <si>
    <t>€/m²a</t>
  </si>
  <si>
    <t>€/kWh</t>
  </si>
  <si>
    <t>Heutige Wärmekosten</t>
  </si>
  <si>
    <t>Heutige Stromkosten</t>
  </si>
  <si>
    <t>Energiepreisverteuerung</t>
  </si>
  <si>
    <t>Kapitalkosten</t>
  </si>
  <si>
    <t>Baujahr und Zustand</t>
  </si>
  <si>
    <t>1 = alt, 2 = modernisiert, 3 = neu</t>
  </si>
  <si>
    <t>vor 1978, alt</t>
  </si>
  <si>
    <t>vor 1978, neu</t>
  </si>
  <si>
    <t>ab 1978</t>
  </si>
  <si>
    <t>Einsparung</t>
  </si>
  <si>
    <t>Energiekosteneinsparung, heute</t>
  </si>
  <si>
    <t>Energiekosteneinsparung, mittel</t>
  </si>
  <si>
    <t>Wert?</t>
  </si>
  <si>
    <t>Soll</t>
  </si>
  <si>
    <t>Ist</t>
  </si>
  <si>
    <t>Ergebnis</t>
  </si>
  <si>
    <t>Vergleich der Einsparungen</t>
  </si>
  <si>
    <t>Kapitalzins</t>
  </si>
  <si>
    <t>Jahre</t>
  </si>
  <si>
    <t xml:space="preserve">Energiepreis </t>
  </si>
  <si>
    <t>ohne Mehrwertsteuer</t>
  </si>
  <si>
    <t>€/kWh für Wärmeenergie</t>
  </si>
  <si>
    <t>€/kWh für Strom</t>
  </si>
  <si>
    <t>Fehler?</t>
  </si>
  <si>
    <t>Fehlermeldung</t>
  </si>
  <si>
    <t>Eingaben Gebäude und Anlage</t>
  </si>
  <si>
    <t>Anlagentyp bestimmen</t>
  </si>
  <si>
    <t>Kostenzuweisung</t>
  </si>
  <si>
    <t>Grunddaten Wirtschaftlichkeit</t>
  </si>
  <si>
    <t>Energieeinsparung und Energiekosten</t>
  </si>
  <si>
    <t>4</t>
  </si>
  <si>
    <t>0,06</t>
  </si>
  <si>
    <t>0,20</t>
  </si>
  <si>
    <t>120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</si>
</sst>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#,##0.00\ &quot;€&quot;"/>
    <numFmt numFmtId="170" formatCode="0.0000"/>
    <numFmt numFmtId="171" formatCode="0.00000"/>
    <numFmt numFmtId="172" formatCode="#,##0.0\ &quot;€/(m²a)&quot;"/>
  </numFmts>
  <fonts count="8"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3.5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3" borderId="0" xfId="0" applyFill="1" applyAlignment="1">
      <alignment/>
    </xf>
    <xf numFmtId="1" fontId="0" fillId="0" borderId="0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0.943"/>
        </c:manualLayout>
      </c:layout>
      <c:bar3DChart>
        <c:barDir val="bar"/>
        <c:grouping val="clustered"/>
        <c:varyColors val="0"/>
        <c:ser>
          <c:idx val="1"/>
          <c:order val="0"/>
          <c:tx>
            <c:v>Erreichbare Einsparung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Notwenige Einsparung</c:v>
              </c:pt>
            </c:strLit>
          </c:cat>
          <c:val>
            <c:numRef>
              <c:f>Tabelle2!$D$72</c:f>
              <c:numCache>
                <c:ptCount val="1"/>
                <c:pt idx="0">
                  <c:v>1.0405030466362537</c:v>
                </c:pt>
              </c:numCache>
            </c:numRef>
          </c:val>
          <c:shape val="box"/>
        </c:ser>
        <c:ser>
          <c:idx val="0"/>
          <c:order val="1"/>
          <c:tx>
            <c:v>Notwendige Einsparung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Notwenige Einsparung</c:v>
              </c:pt>
            </c:strLit>
          </c:cat>
          <c:val>
            <c:numRef>
              <c:f>Tabelle2!$D$71</c:f>
              <c:numCache>
                <c:ptCount val="1"/>
                <c:pt idx="0">
                  <c:v>0.5227517403415165</c:v>
                </c:pt>
              </c:numCache>
            </c:numRef>
          </c:val>
          <c:shape val="box"/>
        </c:ser>
        <c:shape val="box"/>
        <c:axId val="19844026"/>
        <c:axId val="44378507"/>
      </c:bar3DChart>
      <c:catAx>
        <c:axId val="19844026"/>
        <c:scaling>
          <c:orientation val="minMax"/>
        </c:scaling>
        <c:axPos val="l"/>
        <c:delete val="1"/>
        <c:majorTickMark val="out"/>
        <c:minorTickMark val="none"/>
        <c:tickLblPos val="low"/>
        <c:crossAx val="44378507"/>
        <c:crossesAt val="0"/>
        <c:auto val="1"/>
        <c:lblOffset val="100"/>
        <c:noMultiLvlLbl val="0"/>
      </c:catAx>
      <c:valAx>
        <c:axId val="44378507"/>
        <c:scaling>
          <c:orientation val="minMax"/>
          <c:min val="0"/>
        </c:scaling>
        <c:axPos val="b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8440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0155"/>
          <c:w val="0.15225"/>
          <c:h val="0.66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chart" Target="/xl/charts/chart1.xml" /><Relationship Id="rId5" Type="http://schemas.openxmlformats.org/officeDocument/2006/relationships/image" Target="../media/image3.emf" /><Relationship Id="rId6" Type="http://schemas.openxmlformats.org/officeDocument/2006/relationships/image" Target="../media/image6.emf" /><Relationship Id="rId7" Type="http://schemas.openxmlformats.org/officeDocument/2006/relationships/image" Target="../media/image2.emf" /><Relationship Id="rId8" Type="http://schemas.openxmlformats.org/officeDocument/2006/relationships/image" Target="../media/image4.emf" /><Relationship Id="rId9" Type="http://schemas.openxmlformats.org/officeDocument/2006/relationships/image" Target="../media/image7.emf" /><Relationship Id="rId10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133350</xdr:rowOff>
    </xdr:from>
    <xdr:to>
      <xdr:col>10</xdr:col>
      <xdr:colOff>552450</xdr:colOff>
      <xdr:row>35</xdr:row>
      <xdr:rowOff>0</xdr:rowOff>
    </xdr:to>
    <xdr:sp>
      <xdr:nvSpPr>
        <xdr:cNvPr id="1" name="Rectangle 30"/>
        <xdr:cNvSpPr>
          <a:spLocks/>
        </xdr:cNvSpPr>
      </xdr:nvSpPr>
      <xdr:spPr>
        <a:xfrm>
          <a:off x="295275" y="4972050"/>
          <a:ext cx="78771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</xdr:row>
      <xdr:rowOff>57150</xdr:rowOff>
    </xdr:from>
    <xdr:to>
      <xdr:col>10</xdr:col>
      <xdr:colOff>552450</xdr:colOff>
      <xdr:row>30</xdr:row>
      <xdr:rowOff>38100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04850"/>
          <a:ext cx="7886700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542925</xdr:colOff>
      <xdr:row>5</xdr:row>
      <xdr:rowOff>0</xdr:rowOff>
    </xdr:from>
    <xdr:ext cx="952500" cy="219075"/>
    <xdr:sp>
      <xdr:nvSpPr>
        <xdr:cNvPr id="3" name="TextBox 18"/>
        <xdr:cNvSpPr txBox="1">
          <a:spLocks noChangeArrowheads="1"/>
        </xdr:cNvSpPr>
      </xdr:nvSpPr>
      <xdr:spPr>
        <a:xfrm>
          <a:off x="542925" y="809625"/>
          <a:ext cx="952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Gebäudetyp:</a:t>
          </a:r>
        </a:p>
      </xdr:txBody>
    </xdr:sp>
    <xdr:clientData/>
  </xdr:oneCellAnchor>
  <xdr:oneCellAnchor>
    <xdr:from>
      <xdr:col>0</xdr:col>
      <xdr:colOff>542925</xdr:colOff>
      <xdr:row>7</xdr:row>
      <xdr:rowOff>114300</xdr:rowOff>
    </xdr:from>
    <xdr:ext cx="1352550" cy="419100"/>
    <xdr:sp>
      <xdr:nvSpPr>
        <xdr:cNvPr id="4" name="TextBox 20"/>
        <xdr:cNvSpPr txBox="1">
          <a:spLocks noChangeArrowheads="1"/>
        </xdr:cNvSpPr>
      </xdr:nvSpPr>
      <xdr:spPr>
        <a:xfrm>
          <a:off x="542925" y="1247775"/>
          <a:ext cx="1352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Baujahr und 
baulicher Zustand:</a:t>
          </a:r>
        </a:p>
      </xdr:txBody>
    </xdr:sp>
    <xdr:clientData/>
  </xdr:oneCellAnchor>
  <xdr:twoCellAnchor editAs="oneCell">
    <xdr:from>
      <xdr:col>3</xdr:col>
      <xdr:colOff>180975</xdr:colOff>
      <xdr:row>11</xdr:row>
      <xdr:rowOff>114300</xdr:rowOff>
    </xdr:from>
    <xdr:to>
      <xdr:col>4</xdr:col>
      <xdr:colOff>57150</xdr:colOff>
      <xdr:row>13</xdr:row>
      <xdr:rowOff>19050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95475"/>
          <a:ext cx="638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542925</xdr:colOff>
      <xdr:row>11</xdr:row>
      <xdr:rowOff>95250</xdr:rowOff>
    </xdr:from>
    <xdr:ext cx="1581150" cy="219075"/>
    <xdr:sp>
      <xdr:nvSpPr>
        <xdr:cNvPr id="6" name="TextBox 22"/>
        <xdr:cNvSpPr txBox="1">
          <a:spLocks noChangeArrowheads="1"/>
        </xdr:cNvSpPr>
      </xdr:nvSpPr>
      <xdr:spPr>
        <a:xfrm>
          <a:off x="542925" y="1876425"/>
          <a:ext cx="1581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Beheizte Wohnfläche:</a:t>
          </a:r>
        </a:p>
      </xdr:txBody>
    </xdr:sp>
    <xdr:clientData/>
  </xdr:oneCellAnchor>
  <xdr:oneCellAnchor>
    <xdr:from>
      <xdr:col>4</xdr:col>
      <xdr:colOff>142875</xdr:colOff>
      <xdr:row>11</xdr:row>
      <xdr:rowOff>142875</xdr:rowOff>
    </xdr:from>
    <xdr:ext cx="219075" cy="190500"/>
    <xdr:sp>
      <xdr:nvSpPr>
        <xdr:cNvPr id="7" name="TextBox 23"/>
        <xdr:cNvSpPr txBox="1">
          <a:spLocks noChangeArrowheads="1"/>
        </xdr:cNvSpPr>
      </xdr:nvSpPr>
      <xdr:spPr>
        <a:xfrm>
          <a:off x="3190875" y="19240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m²   </a:t>
          </a:r>
        </a:p>
      </xdr:txBody>
    </xdr:sp>
    <xdr:clientData/>
  </xdr:oneCellAnchor>
  <xdr:oneCellAnchor>
    <xdr:from>
      <xdr:col>0</xdr:col>
      <xdr:colOff>542925</xdr:colOff>
      <xdr:row>13</xdr:row>
      <xdr:rowOff>123825</xdr:rowOff>
    </xdr:from>
    <xdr:ext cx="1371600" cy="419100"/>
    <xdr:sp>
      <xdr:nvSpPr>
        <xdr:cNvPr id="8" name="TextBox 24"/>
        <xdr:cNvSpPr txBox="1">
          <a:spLocks noChangeArrowheads="1"/>
        </xdr:cNvSpPr>
      </xdr:nvSpPr>
      <xdr:spPr>
        <a:xfrm>
          <a:off x="542925" y="2228850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Vorhandene 
Thermostatventile:</a:t>
          </a:r>
        </a:p>
      </xdr:txBody>
    </xdr:sp>
    <xdr:clientData/>
  </xdr:oneCellAnchor>
  <xdr:oneCellAnchor>
    <xdr:from>
      <xdr:col>0</xdr:col>
      <xdr:colOff>542925</xdr:colOff>
      <xdr:row>16</xdr:row>
      <xdr:rowOff>114300</xdr:rowOff>
    </xdr:from>
    <xdr:ext cx="1076325" cy="419100"/>
    <xdr:sp>
      <xdr:nvSpPr>
        <xdr:cNvPr id="9" name="TextBox 26"/>
        <xdr:cNvSpPr txBox="1">
          <a:spLocks noChangeArrowheads="1"/>
        </xdr:cNvSpPr>
      </xdr:nvSpPr>
      <xdr:spPr>
        <a:xfrm>
          <a:off x="542925" y="2705100"/>
          <a:ext cx="10763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Vorhandener 
Anlagendruck:</a:t>
          </a:r>
        </a:p>
      </xdr:txBody>
    </xdr:sp>
    <xdr:clientData/>
  </xdr:oneCellAnchor>
  <xdr:twoCellAnchor editAs="oneCell">
    <xdr:from>
      <xdr:col>3</xdr:col>
      <xdr:colOff>190500</xdr:colOff>
      <xdr:row>19</xdr:row>
      <xdr:rowOff>152400</xdr:rowOff>
    </xdr:from>
    <xdr:to>
      <xdr:col>10</xdr:col>
      <xdr:colOff>438150</xdr:colOff>
      <xdr:row>21</xdr:row>
      <xdr:rowOff>104775</xdr:rowOff>
    </xdr:to>
    <xdr:pic>
      <xdr:nvPicPr>
        <xdr:cNvPr id="10" name="Text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3228975"/>
          <a:ext cx="5581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21</xdr:row>
      <xdr:rowOff>104775</xdr:rowOff>
    </xdr:from>
    <xdr:to>
      <xdr:col>10</xdr:col>
      <xdr:colOff>447675</xdr:colOff>
      <xdr:row>30</xdr:row>
      <xdr:rowOff>66675</xdr:rowOff>
    </xdr:to>
    <xdr:graphicFrame>
      <xdr:nvGraphicFramePr>
        <xdr:cNvPr id="11" name="Chart 29"/>
        <xdr:cNvGraphicFramePr/>
      </xdr:nvGraphicFramePr>
      <xdr:xfrm>
        <a:off x="1228725" y="3505200"/>
        <a:ext cx="6838950" cy="140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257175</xdr:colOff>
      <xdr:row>31</xdr:row>
      <xdr:rowOff>66675</xdr:rowOff>
    </xdr:from>
    <xdr:to>
      <xdr:col>1</xdr:col>
      <xdr:colOff>600075</xdr:colOff>
      <xdr:row>32</xdr:row>
      <xdr:rowOff>133350</xdr:rowOff>
    </xdr:to>
    <xdr:pic>
      <xdr:nvPicPr>
        <xdr:cNvPr id="12" name="Text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9175" y="506730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33</xdr:row>
      <xdr:rowOff>38100</xdr:rowOff>
    </xdr:from>
    <xdr:to>
      <xdr:col>1</xdr:col>
      <xdr:colOff>590550</xdr:colOff>
      <xdr:row>34</xdr:row>
      <xdr:rowOff>104775</xdr:rowOff>
    </xdr:to>
    <xdr:pic>
      <xdr:nvPicPr>
        <xdr:cNvPr id="13" name="Text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9650" y="53625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31</xdr:row>
      <xdr:rowOff>66675</xdr:rowOff>
    </xdr:from>
    <xdr:to>
      <xdr:col>5</xdr:col>
      <xdr:colOff>438150</xdr:colOff>
      <xdr:row>32</xdr:row>
      <xdr:rowOff>133350</xdr:rowOff>
    </xdr:to>
    <xdr:pic>
      <xdr:nvPicPr>
        <xdr:cNvPr id="14" name="Text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00475" y="50673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33</xdr:row>
      <xdr:rowOff>0</xdr:rowOff>
    </xdr:from>
    <xdr:to>
      <xdr:col>5</xdr:col>
      <xdr:colOff>438150</xdr:colOff>
      <xdr:row>34</xdr:row>
      <xdr:rowOff>66675</xdr:rowOff>
    </xdr:to>
    <xdr:pic>
      <xdr:nvPicPr>
        <xdr:cNvPr id="15" name="Text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00475" y="53244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32</xdr:row>
      <xdr:rowOff>19050</xdr:rowOff>
    </xdr:from>
    <xdr:to>
      <xdr:col>8</xdr:col>
      <xdr:colOff>742950</xdr:colOff>
      <xdr:row>33</xdr:row>
      <xdr:rowOff>85725</xdr:rowOff>
    </xdr:to>
    <xdr:pic>
      <xdr:nvPicPr>
        <xdr:cNvPr id="16" name="TextBox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86525" y="518160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323850</xdr:colOff>
      <xdr:row>31</xdr:row>
      <xdr:rowOff>85725</xdr:rowOff>
    </xdr:from>
    <xdr:ext cx="600075" cy="180975"/>
    <xdr:sp>
      <xdr:nvSpPr>
        <xdr:cNvPr id="17" name="TextBox 37"/>
        <xdr:cNvSpPr txBox="1">
          <a:spLocks noChangeArrowheads="1"/>
        </xdr:cNvSpPr>
      </xdr:nvSpPr>
      <xdr:spPr>
        <a:xfrm>
          <a:off x="323850" y="5086350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Kapitalzins</a:t>
          </a:r>
        </a:p>
      </xdr:txBody>
    </xdr:sp>
    <xdr:clientData/>
  </xdr:oneCellAnchor>
  <xdr:oneCellAnchor>
    <xdr:from>
      <xdr:col>0</xdr:col>
      <xdr:colOff>323850</xdr:colOff>
      <xdr:row>32</xdr:row>
      <xdr:rowOff>152400</xdr:rowOff>
    </xdr:from>
    <xdr:ext cx="657225" cy="323850"/>
    <xdr:sp>
      <xdr:nvSpPr>
        <xdr:cNvPr id="18" name="TextBox 38"/>
        <xdr:cNvSpPr txBox="1">
          <a:spLocks noChangeArrowheads="1"/>
        </xdr:cNvSpPr>
      </xdr:nvSpPr>
      <xdr:spPr>
        <a:xfrm>
          <a:off x="323850" y="5314950"/>
          <a:ext cx="657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Investitions-
zeitraum</a:t>
          </a:r>
        </a:p>
      </xdr:txBody>
    </xdr:sp>
    <xdr:clientData/>
  </xdr:oneCellAnchor>
  <xdr:oneCellAnchor>
    <xdr:from>
      <xdr:col>1</xdr:col>
      <xdr:colOff>628650</xdr:colOff>
      <xdr:row>31</xdr:row>
      <xdr:rowOff>85725</xdr:rowOff>
    </xdr:from>
    <xdr:ext cx="285750" cy="190500"/>
    <xdr:sp>
      <xdr:nvSpPr>
        <xdr:cNvPr id="19" name="TextBox 39"/>
        <xdr:cNvSpPr txBox="1">
          <a:spLocks noChangeArrowheads="1"/>
        </xdr:cNvSpPr>
      </xdr:nvSpPr>
      <xdr:spPr>
        <a:xfrm>
          <a:off x="1390650" y="508635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%/a</a:t>
          </a:r>
        </a:p>
      </xdr:txBody>
    </xdr:sp>
    <xdr:clientData/>
  </xdr:oneCellAnchor>
  <xdr:oneCellAnchor>
    <xdr:from>
      <xdr:col>1</xdr:col>
      <xdr:colOff>600075</xdr:colOff>
      <xdr:row>33</xdr:row>
      <xdr:rowOff>57150</xdr:rowOff>
    </xdr:from>
    <xdr:ext cx="390525" cy="190500"/>
    <xdr:sp>
      <xdr:nvSpPr>
        <xdr:cNvPr id="20" name="TextBox 40"/>
        <xdr:cNvSpPr txBox="1">
          <a:spLocks noChangeArrowheads="1"/>
        </xdr:cNvSpPr>
      </xdr:nvSpPr>
      <xdr:spPr>
        <a:xfrm>
          <a:off x="1362075" y="5381625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Jahre</a:t>
          </a:r>
        </a:p>
      </xdr:txBody>
    </xdr:sp>
    <xdr:clientData/>
  </xdr:oneCellAnchor>
  <xdr:oneCellAnchor>
    <xdr:from>
      <xdr:col>2</xdr:col>
      <xdr:colOff>647700</xdr:colOff>
      <xdr:row>31</xdr:row>
      <xdr:rowOff>142875</xdr:rowOff>
    </xdr:from>
    <xdr:ext cx="1343025" cy="381000"/>
    <xdr:sp>
      <xdr:nvSpPr>
        <xdr:cNvPr id="21" name="TextBox 41"/>
        <xdr:cNvSpPr txBox="1">
          <a:spLocks noChangeArrowheads="1"/>
        </xdr:cNvSpPr>
      </xdr:nvSpPr>
      <xdr:spPr>
        <a:xfrm>
          <a:off x="2171700" y="5143500"/>
          <a:ext cx="1343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Heutige Energiepreise 
ohne Mehrwertsteuer</a:t>
          </a:r>
        </a:p>
      </xdr:txBody>
    </xdr:sp>
    <xdr:clientData/>
  </xdr:oneCellAnchor>
  <xdr:oneCellAnchor>
    <xdr:from>
      <xdr:col>5</xdr:col>
      <xdr:colOff>457200</xdr:colOff>
      <xdr:row>31</xdr:row>
      <xdr:rowOff>114300</xdr:rowOff>
    </xdr:from>
    <xdr:ext cx="438150" cy="190500"/>
    <xdr:sp>
      <xdr:nvSpPr>
        <xdr:cNvPr id="22" name="TextBox 42"/>
        <xdr:cNvSpPr txBox="1">
          <a:spLocks noChangeArrowheads="1"/>
        </xdr:cNvSpPr>
      </xdr:nvSpPr>
      <xdr:spPr>
        <a:xfrm>
          <a:off x="4267200" y="5114925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€/kWh</a:t>
          </a:r>
        </a:p>
      </xdr:txBody>
    </xdr:sp>
    <xdr:clientData/>
  </xdr:oneCellAnchor>
  <xdr:oneCellAnchor>
    <xdr:from>
      <xdr:col>5</xdr:col>
      <xdr:colOff>457200</xdr:colOff>
      <xdr:row>33</xdr:row>
      <xdr:rowOff>38100</xdr:rowOff>
    </xdr:from>
    <xdr:ext cx="438150" cy="190500"/>
    <xdr:sp>
      <xdr:nvSpPr>
        <xdr:cNvPr id="23" name="TextBox 43"/>
        <xdr:cNvSpPr txBox="1">
          <a:spLocks noChangeArrowheads="1"/>
        </xdr:cNvSpPr>
      </xdr:nvSpPr>
      <xdr:spPr>
        <a:xfrm>
          <a:off x="4267200" y="5362575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€/kWh</a:t>
          </a:r>
        </a:p>
      </xdr:txBody>
    </xdr:sp>
    <xdr:clientData/>
  </xdr:oneCellAnchor>
  <xdr:oneCellAnchor>
    <xdr:from>
      <xdr:col>6</xdr:col>
      <xdr:colOff>561975</xdr:colOff>
      <xdr:row>31</xdr:row>
      <xdr:rowOff>133350</xdr:rowOff>
    </xdr:from>
    <xdr:ext cx="1285875" cy="323850"/>
    <xdr:sp>
      <xdr:nvSpPr>
        <xdr:cNvPr id="24" name="TextBox 45"/>
        <xdr:cNvSpPr txBox="1">
          <a:spLocks noChangeArrowheads="1"/>
        </xdr:cNvSpPr>
      </xdr:nvSpPr>
      <xdr:spPr>
        <a:xfrm>
          <a:off x="5133975" y="5133975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Energiepreisverteuerung
in den nächsten Jahren</a:t>
          </a:r>
        </a:p>
      </xdr:txBody>
    </xdr:sp>
    <xdr:clientData/>
  </xdr:oneCellAnchor>
  <xdr:oneCellAnchor>
    <xdr:from>
      <xdr:col>9</xdr:col>
      <xdr:colOff>19050</xdr:colOff>
      <xdr:row>32</xdr:row>
      <xdr:rowOff>38100</xdr:rowOff>
    </xdr:from>
    <xdr:ext cx="285750" cy="190500"/>
    <xdr:sp>
      <xdr:nvSpPr>
        <xdr:cNvPr id="25" name="TextBox 46"/>
        <xdr:cNvSpPr txBox="1">
          <a:spLocks noChangeArrowheads="1"/>
        </xdr:cNvSpPr>
      </xdr:nvSpPr>
      <xdr:spPr>
        <a:xfrm>
          <a:off x="6877050" y="520065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%/a</a:t>
          </a:r>
        </a:p>
      </xdr:txBody>
    </xdr:sp>
    <xdr:clientData/>
  </xdr:oneCellAnchor>
  <xdr:twoCellAnchor>
    <xdr:from>
      <xdr:col>0</xdr:col>
      <xdr:colOff>285750</xdr:colOff>
      <xdr:row>0</xdr:row>
      <xdr:rowOff>85725</xdr:rowOff>
    </xdr:from>
    <xdr:to>
      <xdr:col>10</xdr:col>
      <xdr:colOff>523875</xdr:colOff>
      <xdr:row>4</xdr:row>
      <xdr:rowOff>0</xdr:rowOff>
    </xdr:to>
    <xdr:sp>
      <xdr:nvSpPr>
        <xdr:cNvPr id="26" name="Rectangle 47"/>
        <xdr:cNvSpPr>
          <a:spLocks/>
        </xdr:cNvSpPr>
      </xdr:nvSpPr>
      <xdr:spPr>
        <a:xfrm>
          <a:off x="285750" y="85725"/>
          <a:ext cx="78581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Ist die Optimierung Ihrer Heizungsanlage in Ihrem Gebäude wirtschaftlich?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(Überschlägige Abschätzung für Gebäude mit Heizkörperheizung)</a:t>
          </a:r>
        </a:p>
      </xdr:txBody>
    </xdr:sp>
    <xdr:clientData/>
  </xdr:twoCellAnchor>
  <xdr:twoCellAnchor editAs="oneCell">
    <xdr:from>
      <xdr:col>4</xdr:col>
      <xdr:colOff>533400</xdr:colOff>
      <xdr:row>11</xdr:row>
      <xdr:rowOff>114300</xdr:rowOff>
    </xdr:from>
    <xdr:to>
      <xdr:col>7</xdr:col>
      <xdr:colOff>209550</xdr:colOff>
      <xdr:row>13</xdr:row>
      <xdr:rowOff>19050</xdr:rowOff>
    </xdr:to>
    <xdr:pic>
      <xdr:nvPicPr>
        <xdr:cNvPr id="27" name="TextBox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81400" y="1895475"/>
          <a:ext cx="1962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11</xdr:row>
      <xdr:rowOff>47625</xdr:rowOff>
    </xdr:from>
    <xdr:to>
      <xdr:col>10</xdr:col>
      <xdr:colOff>219075</xdr:colOff>
      <xdr:row>13</xdr:row>
      <xdr:rowOff>95250</xdr:rowOff>
    </xdr:to>
    <xdr:sp>
      <xdr:nvSpPr>
        <xdr:cNvPr id="28" name="TextBox 49"/>
        <xdr:cNvSpPr txBox="1">
          <a:spLocks noChangeArrowheads="1"/>
        </xdr:cNvSpPr>
      </xdr:nvSpPr>
      <xdr:spPr>
        <a:xfrm>
          <a:off x="6172200" y="1828800"/>
          <a:ext cx="1666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EFH: 50 … 300 m²
MFH: 300 … 10.000 m²</a:t>
          </a:r>
        </a:p>
      </xdr:txBody>
    </xdr:sp>
    <xdr:clientData/>
  </xdr:twoCellAnchor>
  <xdr:twoCellAnchor>
    <xdr:from>
      <xdr:col>0</xdr:col>
      <xdr:colOff>561975</xdr:colOff>
      <xdr:row>19</xdr:row>
      <xdr:rowOff>19050</xdr:rowOff>
    </xdr:from>
    <xdr:to>
      <xdr:col>3</xdr:col>
      <xdr:colOff>47625</xdr:colOff>
      <xdr:row>22</xdr:row>
      <xdr:rowOff>57150</xdr:rowOff>
    </xdr:to>
    <xdr:sp>
      <xdr:nvSpPr>
        <xdr:cNvPr id="29" name="AutoShape 50"/>
        <xdr:cNvSpPr>
          <a:spLocks/>
        </xdr:cNvSpPr>
      </xdr:nvSpPr>
      <xdr:spPr>
        <a:xfrm>
          <a:off x="561975" y="3095625"/>
          <a:ext cx="1771650" cy="523875"/>
        </a:xfrm>
        <a:prstGeom prst="rightArrow">
          <a:avLst>
            <a:gd name="adj1" fmla="val 25898"/>
            <a:gd name="adj2" fmla="val -2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 A Z I T</a:t>
          </a:r>
        </a:p>
      </xdr:txBody>
    </xdr:sp>
    <xdr:clientData/>
  </xdr:twoCellAnchor>
  <xdr:oneCellAnchor>
    <xdr:from>
      <xdr:col>9</xdr:col>
      <xdr:colOff>95250</xdr:colOff>
      <xdr:row>28</xdr:row>
      <xdr:rowOff>104775</xdr:rowOff>
    </xdr:from>
    <xdr:ext cx="438150" cy="171450"/>
    <xdr:sp>
      <xdr:nvSpPr>
        <xdr:cNvPr id="30" name="TextBox 53"/>
        <xdr:cNvSpPr txBox="1">
          <a:spLocks noChangeArrowheads="1"/>
        </xdr:cNvSpPr>
      </xdr:nvSpPr>
      <xdr:spPr>
        <a:xfrm>
          <a:off x="6953250" y="4638675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€/(m²a)</a:t>
          </a:r>
        </a:p>
      </xdr:txBody>
    </xdr:sp>
    <xdr:clientData/>
  </xdr:oneCellAnchor>
  <xdr:oneCellAnchor>
    <xdr:from>
      <xdr:col>4</xdr:col>
      <xdr:colOff>323850</xdr:colOff>
      <xdr:row>31</xdr:row>
      <xdr:rowOff>95250</xdr:rowOff>
    </xdr:from>
    <xdr:ext cx="552450" cy="257175"/>
    <xdr:sp>
      <xdr:nvSpPr>
        <xdr:cNvPr id="31" name="TextBox 54"/>
        <xdr:cNvSpPr txBox="1">
          <a:spLocks noChangeArrowheads="1"/>
        </xdr:cNvSpPr>
      </xdr:nvSpPr>
      <xdr:spPr>
        <a:xfrm>
          <a:off x="3371850" y="50958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Wärme</a:t>
          </a:r>
        </a:p>
      </xdr:txBody>
    </xdr:sp>
    <xdr:clientData/>
  </xdr:oneCellAnchor>
  <xdr:oneCellAnchor>
    <xdr:from>
      <xdr:col>4</xdr:col>
      <xdr:colOff>314325</xdr:colOff>
      <xdr:row>33</xdr:row>
      <xdr:rowOff>28575</xdr:rowOff>
    </xdr:from>
    <xdr:ext cx="552450" cy="257175"/>
    <xdr:sp>
      <xdr:nvSpPr>
        <xdr:cNvPr id="32" name="TextBox 55"/>
        <xdr:cNvSpPr txBox="1">
          <a:spLocks noChangeArrowheads="1"/>
        </xdr:cNvSpPr>
      </xdr:nvSpPr>
      <xdr:spPr>
        <a:xfrm>
          <a:off x="3362325" y="5353050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K35"/>
  <sheetViews>
    <sheetView showGridLines="0" tabSelected="1" zoomScale="140" zoomScaleNormal="140" workbookViewId="0" topLeftCell="D1">
      <selection activeCell="A1" sqref="A1"/>
    </sheetView>
  </sheetViews>
  <sheetFormatPr defaultColWidth="11.421875" defaultRowHeight="12.75"/>
  <cols>
    <col min="1" max="16384" width="11.421875" style="14" customWidth="1"/>
  </cols>
  <sheetData>
    <row r="2" spans="2:11" ht="12.75">
      <c r="B2" s="15">
        <f>Tabelle2!C79</f>
      </c>
      <c r="C2" s="15"/>
      <c r="D2" s="15"/>
      <c r="E2" s="15"/>
      <c r="F2" s="15"/>
      <c r="G2" s="15"/>
      <c r="H2" s="15"/>
      <c r="I2" s="15"/>
      <c r="J2" s="15"/>
      <c r="K2" s="15"/>
    </row>
    <row r="3" spans="2:11" ht="12.75"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11" ht="12.75"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2:11" ht="12.75"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2:11" ht="12.75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1" ht="12.75"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2:11" ht="12.75"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2:11" ht="12.75"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2:11" ht="12.75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2:11" ht="12.75"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2:11" ht="12.75"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2:11" ht="12.75"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2:11" ht="12.75"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2:11" ht="12.75"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2:11" ht="12.75"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2:11" ht="12.75"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2:11" ht="12.75"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2:11" ht="12.75"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2:11" ht="12.75"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2:11" ht="12.75">
      <c r="B22" s="16" t="s">
        <v>74</v>
      </c>
      <c r="C22" s="15" t="s">
        <v>11</v>
      </c>
      <c r="D22" s="15">
        <f>Tabelle2!I3</f>
        <v>0</v>
      </c>
      <c r="E22" s="15">
        <f>Tabelle2!L3</f>
        <v>0</v>
      </c>
      <c r="F22" s="15"/>
      <c r="G22" s="15"/>
      <c r="H22" s="15"/>
      <c r="I22" s="15"/>
      <c r="J22" s="15"/>
      <c r="K22" s="15"/>
    </row>
    <row r="23" spans="2:11" ht="12.75"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2:11" ht="12.75">
      <c r="B24" s="15" t="s">
        <v>24</v>
      </c>
      <c r="C24" s="15">
        <f>C33-0.00001</f>
        <v>3.99999</v>
      </c>
      <c r="D24" s="15" t="s">
        <v>26</v>
      </c>
      <c r="E24" s="15"/>
      <c r="F24" s="15"/>
      <c r="G24" s="15"/>
      <c r="H24" s="15"/>
      <c r="I24" s="15"/>
      <c r="J24" s="15"/>
      <c r="K24" s="15"/>
    </row>
    <row r="25" spans="2:11" ht="12.75">
      <c r="B25" s="15" t="s">
        <v>25</v>
      </c>
      <c r="C25" s="15">
        <f>C35</f>
        <v>15</v>
      </c>
      <c r="D25" s="15" t="s">
        <v>27</v>
      </c>
      <c r="E25" s="15"/>
      <c r="F25" s="15"/>
      <c r="G25" s="15"/>
      <c r="H25" s="15"/>
      <c r="I25" s="15"/>
      <c r="J25" s="15"/>
      <c r="K25" s="15"/>
    </row>
    <row r="26" spans="2:11" ht="12.75">
      <c r="B26" s="15" t="s">
        <v>41</v>
      </c>
      <c r="C26" s="15" t="str">
        <f>G33</f>
        <v>0,06</v>
      </c>
      <c r="D26" s="15" t="s">
        <v>40</v>
      </c>
      <c r="E26" s="15"/>
      <c r="F26" s="15"/>
      <c r="G26" s="15"/>
      <c r="H26" s="15"/>
      <c r="I26" s="15"/>
      <c r="J26" s="15"/>
      <c r="K26" s="15"/>
    </row>
    <row r="27" spans="2:11" ht="12.75">
      <c r="B27" s="15" t="s">
        <v>42</v>
      </c>
      <c r="C27" s="15" t="str">
        <f>G34</f>
        <v>0,20</v>
      </c>
      <c r="D27" s="15" t="s">
        <v>40</v>
      </c>
      <c r="E27" s="15"/>
      <c r="F27" s="15"/>
      <c r="G27" s="15"/>
      <c r="H27" s="15"/>
      <c r="I27" s="15"/>
      <c r="J27" s="15"/>
      <c r="K27" s="15"/>
    </row>
    <row r="28" spans="2:11" ht="12.75">
      <c r="B28" s="15" t="s">
        <v>43</v>
      </c>
      <c r="C28" s="15">
        <f>G35</f>
        <v>6</v>
      </c>
      <c r="D28" s="15" t="s">
        <v>26</v>
      </c>
      <c r="E28" s="15"/>
      <c r="F28" s="15"/>
      <c r="G28" s="15"/>
      <c r="H28" s="15"/>
      <c r="I28" s="15"/>
      <c r="J28" s="15"/>
      <c r="K28" s="15"/>
    </row>
    <row r="29" spans="2:11" ht="11.2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2:11" ht="12.75">
      <c r="B30" s="15" t="str">
        <f>Tabelle2!D74</f>
        <v>Die Optimierung der Heizungsanlage ist in diesem Gebäude wirtschaftlich!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2:11" ht="12.75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12.75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 ht="12.75">
      <c r="B33" s="15" t="s">
        <v>58</v>
      </c>
      <c r="C33" s="17" t="s">
        <v>71</v>
      </c>
      <c r="D33" s="15" t="s">
        <v>26</v>
      </c>
      <c r="E33" s="15" t="s">
        <v>60</v>
      </c>
      <c r="F33" s="15"/>
      <c r="G33" s="17" t="s">
        <v>72</v>
      </c>
      <c r="H33" s="15" t="s">
        <v>62</v>
      </c>
      <c r="I33" s="15"/>
      <c r="J33" s="15"/>
      <c r="K33" s="15"/>
    </row>
    <row r="34" spans="2:11" ht="12.75">
      <c r="B34" s="15"/>
      <c r="C34" s="15"/>
      <c r="D34" s="15"/>
      <c r="E34" s="15" t="s">
        <v>61</v>
      </c>
      <c r="F34" s="15"/>
      <c r="G34" s="17" t="s">
        <v>73</v>
      </c>
      <c r="H34" s="15" t="s">
        <v>63</v>
      </c>
      <c r="I34" s="15"/>
      <c r="J34" s="15"/>
      <c r="K34" s="15"/>
    </row>
    <row r="35" spans="2:11" ht="12.75">
      <c r="B35" s="15" t="s">
        <v>25</v>
      </c>
      <c r="C35" s="17">
        <v>15</v>
      </c>
      <c r="D35" s="15" t="s">
        <v>59</v>
      </c>
      <c r="E35" s="15" t="s">
        <v>43</v>
      </c>
      <c r="F35" s="15"/>
      <c r="G35" s="17">
        <v>6</v>
      </c>
      <c r="H35" s="15" t="s">
        <v>26</v>
      </c>
      <c r="I35" s="15"/>
      <c r="J35" s="15"/>
      <c r="K35" s="15"/>
    </row>
  </sheetData>
  <sheetProtection sheet="1" objects="1" scenarios="1"/>
  <dataValidations count="1">
    <dataValidation type="decimal" allowBlank="1" showInputMessage="1" showErrorMessage="1" promptTitle="Meldung" prompt="Bei Ein- und Zweifamilienhäusern 0 ... 300 m² eingeben.&#10;Bei Mehrfamilienhäusern 300 ... 10.000 m² eingeben." errorTitle="Fläche überprüfen!" error="Bei Ein- und Zweifamilienhäusern 0 ... 300 m² eingeben.&#10;Bei Mehrfamilienhäusern 300 ... 10.000 m² eingeben." sqref="B22">
      <formula1>D22</formula1>
      <formula2>E22</formula2>
    </dataValidation>
  </dataValidations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79"/>
  <sheetViews>
    <sheetView workbookViewId="0" topLeftCell="A32">
      <selection activeCell="D64" sqref="D64"/>
    </sheetView>
  </sheetViews>
  <sheetFormatPr defaultColWidth="11.421875" defaultRowHeight="12.75"/>
  <cols>
    <col min="2" max="2" width="28.28125" style="0" customWidth="1"/>
    <col min="9" max="11" width="5.140625" style="0" customWidth="1"/>
  </cols>
  <sheetData>
    <row r="1" s="5" customFormat="1" ht="12.75">
      <c r="A1" s="5" t="s">
        <v>66</v>
      </c>
    </row>
    <row r="3" spans="2:5" ht="12.75">
      <c r="B3" t="s">
        <v>0</v>
      </c>
      <c r="C3" s="11">
        <v>1</v>
      </c>
      <c r="E3" t="s">
        <v>1</v>
      </c>
    </row>
    <row r="4" spans="2:5" ht="12.75">
      <c r="B4" t="s">
        <v>2</v>
      </c>
      <c r="C4" s="11">
        <v>1</v>
      </c>
      <c r="E4" t="s">
        <v>3</v>
      </c>
    </row>
    <row r="5" spans="2:5" ht="12.75">
      <c r="B5" t="s">
        <v>4</v>
      </c>
      <c r="C5" s="11">
        <v>1</v>
      </c>
      <c r="E5" t="s">
        <v>5</v>
      </c>
    </row>
    <row r="7" s="5" customFormat="1" ht="12.75">
      <c r="A7" s="5" t="s">
        <v>67</v>
      </c>
    </row>
    <row r="9" spans="2:3" ht="12.75">
      <c r="B9" t="s">
        <v>6</v>
      </c>
      <c r="C9">
        <f>IF(AND(C4=2,C5=2),1,0)</f>
        <v>0</v>
      </c>
    </row>
    <row r="10" spans="2:3" ht="12.75">
      <c r="B10" t="s">
        <v>7</v>
      </c>
      <c r="C10">
        <f>IF(AND(C4=1,C5=2),2,0)</f>
        <v>0</v>
      </c>
    </row>
    <row r="11" spans="2:3" ht="12.75">
      <c r="B11" t="s">
        <v>8</v>
      </c>
      <c r="C11">
        <f>IF(AND(C4=2,C5=1),3,0)</f>
        <v>0</v>
      </c>
    </row>
    <row r="12" spans="2:3" ht="12.75">
      <c r="B12" t="s">
        <v>9</v>
      </c>
      <c r="C12">
        <f>IF(AND(C4=1,C5=1),4,0)</f>
        <v>4</v>
      </c>
    </row>
    <row r="13" spans="2:3" ht="12.75">
      <c r="B13" t="s">
        <v>22</v>
      </c>
      <c r="C13">
        <f>SUM(C9:C12)</f>
        <v>4</v>
      </c>
    </row>
    <row r="15" s="5" customFormat="1" ht="12.75">
      <c r="A15" s="5" t="s">
        <v>12</v>
      </c>
    </row>
    <row r="16" ht="12.75">
      <c r="G16" t="s">
        <v>64</v>
      </c>
    </row>
    <row r="17" spans="2:7" ht="12.75">
      <c r="B17" t="s">
        <v>10</v>
      </c>
      <c r="C17" s="10" t="str">
        <f>Tabelle1!B22</f>
        <v>120</v>
      </c>
      <c r="D17" t="s">
        <v>11</v>
      </c>
      <c r="E17">
        <f>C17*1</f>
        <v>120</v>
      </c>
      <c r="G17" t="str">
        <f>IF(SUM(O23:O34)=0,"Fehler","OK")</f>
        <v>OK</v>
      </c>
    </row>
    <row r="18" ht="12.75">
      <c r="C18" s="1"/>
    </row>
    <row r="19" spans="1:3" s="5" customFormat="1" ht="12.75">
      <c r="A19" s="5" t="s">
        <v>68</v>
      </c>
      <c r="C19" s="6"/>
    </row>
    <row r="20" ht="12.75">
      <c r="C20" s="1"/>
    </row>
    <row r="21" spans="8:15" ht="12.75">
      <c r="H21" t="s">
        <v>16</v>
      </c>
      <c r="O21" t="s">
        <v>21</v>
      </c>
    </row>
    <row r="22" spans="3:13" ht="12.75">
      <c r="C22" s="2" t="s">
        <v>14</v>
      </c>
      <c r="D22" s="2" t="s">
        <v>15</v>
      </c>
      <c r="E22" t="s">
        <v>13</v>
      </c>
      <c r="F22" t="s">
        <v>20</v>
      </c>
      <c r="H22" t="s">
        <v>17</v>
      </c>
      <c r="I22" t="s">
        <v>12</v>
      </c>
      <c r="L22" t="s">
        <v>18</v>
      </c>
      <c r="M22" t="s">
        <v>19</v>
      </c>
    </row>
    <row r="23" spans="2:15" ht="12.75">
      <c r="B23" t="s">
        <v>9</v>
      </c>
      <c r="C23" s="2">
        <v>50</v>
      </c>
      <c r="D23" s="2">
        <v>300</v>
      </c>
      <c r="E23">
        <f>46.028*F23^-0.43223</f>
        <v>5.81216044404664</v>
      </c>
      <c r="F23" s="1" t="str">
        <f>C17</f>
        <v>120</v>
      </c>
      <c r="H23">
        <f>IF(C3=1,1,0)</f>
        <v>1</v>
      </c>
      <c r="I23">
        <f aca="true" t="shared" si="0" ref="I23:I34">IF($E$17&gt;=C23,1,0)</f>
        <v>1</v>
      </c>
      <c r="J23">
        <f>IF($E$17&lt;=D23,1,0)</f>
        <v>1</v>
      </c>
      <c r="K23">
        <f>I23*J23</f>
        <v>1</v>
      </c>
      <c r="L23">
        <f>IF(C12=0,0,1)</f>
        <v>1</v>
      </c>
      <c r="M23">
        <f>H23*K23*L23</f>
        <v>1</v>
      </c>
      <c r="O23">
        <f aca="true" t="shared" si="1" ref="O23:O34">M23*E23</f>
        <v>5.81216044404664</v>
      </c>
    </row>
    <row r="24" spans="3:15" ht="12.75">
      <c r="C24" s="2">
        <v>300</v>
      </c>
      <c r="D24" s="2">
        <v>500</v>
      </c>
      <c r="E24">
        <f>6.2755*F24^-0.0634</f>
        <v>4.6326366952724145</v>
      </c>
      <c r="F24" s="1" t="str">
        <f>C17</f>
        <v>120</v>
      </c>
      <c r="H24">
        <f>IF(C3=2,1,0)</f>
        <v>0</v>
      </c>
      <c r="I24">
        <f t="shared" si="0"/>
        <v>0</v>
      </c>
      <c r="J24">
        <f>IF($E$17&lt;D24,1,0)</f>
        <v>1</v>
      </c>
      <c r="K24">
        <f>I24*J24</f>
        <v>0</v>
      </c>
      <c r="L24">
        <f>IF(C12=0,0,1)</f>
        <v>1</v>
      </c>
      <c r="M24">
        <f aca="true" t="shared" si="2" ref="M24:M34">H24*K24*L24</f>
        <v>0</v>
      </c>
      <c r="O24">
        <f t="shared" si="1"/>
        <v>0</v>
      </c>
    </row>
    <row r="25" spans="3:15" ht="12.75">
      <c r="C25" s="2">
        <v>500</v>
      </c>
      <c r="D25" s="2">
        <v>10000</v>
      </c>
      <c r="E25">
        <f>35.194*F25^-0.3425</f>
        <v>6.828873266188589</v>
      </c>
      <c r="F25" s="1" t="str">
        <f>C17</f>
        <v>120</v>
      </c>
      <c r="H25">
        <f>IF(C3=2,1,0)</f>
        <v>0</v>
      </c>
      <c r="I25">
        <f t="shared" si="0"/>
        <v>0</v>
      </c>
      <c r="J25">
        <f>IF($E$17&lt;=D25,1,0)</f>
        <v>1</v>
      </c>
      <c r="K25">
        <f>I25*J25</f>
        <v>0</v>
      </c>
      <c r="L25">
        <f>IF(C12=0,0,1)</f>
        <v>1</v>
      </c>
      <c r="M25">
        <f t="shared" si="2"/>
        <v>0</v>
      </c>
      <c r="O25">
        <f t="shared" si="1"/>
        <v>0</v>
      </c>
    </row>
    <row r="26" spans="2:15" ht="12.75">
      <c r="B26" t="s">
        <v>8</v>
      </c>
      <c r="C26" s="2">
        <v>50</v>
      </c>
      <c r="D26" s="2">
        <v>300</v>
      </c>
      <c r="E26">
        <f>101.25*F26^-0.6615</f>
        <v>4.265958611840625</v>
      </c>
      <c r="F26" s="1" t="str">
        <f>C17</f>
        <v>120</v>
      </c>
      <c r="H26">
        <f>IF(C3=1,1,0)</f>
        <v>1</v>
      </c>
      <c r="I26">
        <f t="shared" si="0"/>
        <v>1</v>
      </c>
      <c r="J26">
        <f>IF($E$17&lt;=D26,1,0)</f>
        <v>1</v>
      </c>
      <c r="K26">
        <f>I26*J26</f>
        <v>1</v>
      </c>
      <c r="L26">
        <f>IF(C11=0,0,1)</f>
        <v>0</v>
      </c>
      <c r="M26">
        <f t="shared" si="2"/>
        <v>0</v>
      </c>
      <c r="O26">
        <f t="shared" si="1"/>
        <v>0</v>
      </c>
    </row>
    <row r="27" spans="3:15" ht="12.75">
      <c r="C27" s="2">
        <v>300</v>
      </c>
      <c r="D27" s="2">
        <v>500</v>
      </c>
      <c r="E27">
        <f>13.627*F27^-0.3122</f>
        <v>3.0568904200157805</v>
      </c>
      <c r="F27" s="1" t="str">
        <f>C17</f>
        <v>120</v>
      </c>
      <c r="H27">
        <f>IF(C3=2,1,0)</f>
        <v>0</v>
      </c>
      <c r="I27">
        <f t="shared" si="0"/>
        <v>0</v>
      </c>
      <c r="J27">
        <f>IF($E$17&lt;D27,1,0)</f>
        <v>1</v>
      </c>
      <c r="K27">
        <f aca="true" t="shared" si="3" ref="K27:K34">I27*J27</f>
        <v>0</v>
      </c>
      <c r="L27">
        <f>IF(C11=0,0,1)</f>
        <v>0</v>
      </c>
      <c r="M27">
        <f t="shared" si="2"/>
        <v>0</v>
      </c>
      <c r="O27">
        <f t="shared" si="1"/>
        <v>0</v>
      </c>
    </row>
    <row r="28" spans="3:15" ht="12.75">
      <c r="C28" s="2">
        <v>500</v>
      </c>
      <c r="D28" s="2">
        <v>10000</v>
      </c>
      <c r="E28">
        <f>66.561*F28^-0.5645</f>
        <v>4.461922520843708</v>
      </c>
      <c r="F28" s="1" t="str">
        <f>C17</f>
        <v>120</v>
      </c>
      <c r="H28">
        <f>IF(C3=2,1,0)</f>
        <v>0</v>
      </c>
      <c r="I28">
        <f t="shared" si="0"/>
        <v>0</v>
      </c>
      <c r="J28">
        <f>IF($E$17&lt;=D28,1,0)</f>
        <v>1</v>
      </c>
      <c r="K28">
        <f t="shared" si="3"/>
        <v>0</v>
      </c>
      <c r="L28">
        <f>IF(C11=0,0,1)</f>
        <v>0</v>
      </c>
      <c r="M28">
        <f t="shared" si="2"/>
        <v>0</v>
      </c>
      <c r="O28">
        <f t="shared" si="1"/>
        <v>0</v>
      </c>
    </row>
    <row r="29" spans="2:15" ht="12.75">
      <c r="B29" t="s">
        <v>7</v>
      </c>
      <c r="C29" s="2">
        <v>50</v>
      </c>
      <c r="D29" s="2">
        <v>300</v>
      </c>
      <c r="E29">
        <f>20.281*F29^-0.3118</f>
        <v>4.558276364243847</v>
      </c>
      <c r="F29" s="1" t="str">
        <f>C17</f>
        <v>120</v>
      </c>
      <c r="H29">
        <f>IF(C3=1,1,0)</f>
        <v>1</v>
      </c>
      <c r="I29">
        <f t="shared" si="0"/>
        <v>1</v>
      </c>
      <c r="J29">
        <f>IF($E$17&lt;=D29,1,0)</f>
        <v>1</v>
      </c>
      <c r="K29">
        <f t="shared" si="3"/>
        <v>1</v>
      </c>
      <c r="L29">
        <f>IF(C10=0,0,1)</f>
        <v>0</v>
      </c>
      <c r="M29">
        <f t="shared" si="2"/>
        <v>0</v>
      </c>
      <c r="O29">
        <f t="shared" si="1"/>
        <v>0</v>
      </c>
    </row>
    <row r="30" spans="3:15" ht="12.75">
      <c r="C30" s="2">
        <v>300</v>
      </c>
      <c r="D30" s="2">
        <v>500</v>
      </c>
      <c r="E30">
        <f>6.5958*F30^-0.098</f>
        <v>4.125795674766562</v>
      </c>
      <c r="F30" s="1" t="str">
        <f>C17</f>
        <v>120</v>
      </c>
      <c r="H30">
        <f>IF(C3=2,1,0)</f>
        <v>0</v>
      </c>
      <c r="I30">
        <f t="shared" si="0"/>
        <v>0</v>
      </c>
      <c r="J30">
        <f>IF($E$17&lt;D30,1,0)</f>
        <v>1</v>
      </c>
      <c r="K30">
        <f t="shared" si="3"/>
        <v>0</v>
      </c>
      <c r="L30">
        <f>IF(C10=0,0,1)</f>
        <v>0</v>
      </c>
      <c r="M30">
        <f t="shared" si="2"/>
        <v>0</v>
      </c>
      <c r="O30">
        <f t="shared" si="1"/>
        <v>0</v>
      </c>
    </row>
    <row r="31" spans="3:15" ht="12.75">
      <c r="C31" s="2">
        <v>500</v>
      </c>
      <c r="D31" s="2">
        <v>10000</v>
      </c>
      <c r="E31">
        <f>13.015*F31^-0.2071</f>
        <v>4.828872475640805</v>
      </c>
      <c r="F31" s="1" t="str">
        <f>C17</f>
        <v>120</v>
      </c>
      <c r="H31">
        <f>IF(C3=2,1,0)</f>
        <v>0</v>
      </c>
      <c r="I31">
        <f t="shared" si="0"/>
        <v>0</v>
      </c>
      <c r="J31">
        <f>IF($E$17&lt;=D31,1,0)</f>
        <v>1</v>
      </c>
      <c r="K31">
        <f t="shared" si="3"/>
        <v>0</v>
      </c>
      <c r="L31">
        <f>IF(C10=0,0,1)</f>
        <v>0</v>
      </c>
      <c r="M31">
        <f t="shared" si="2"/>
        <v>0</v>
      </c>
      <c r="O31">
        <f t="shared" si="1"/>
        <v>0</v>
      </c>
    </row>
    <row r="32" spans="2:15" ht="12.75">
      <c r="B32" t="s">
        <v>6</v>
      </c>
      <c r="C32" s="2">
        <v>50</v>
      </c>
      <c r="D32" s="2">
        <v>300</v>
      </c>
      <c r="E32">
        <f>8.7217*F32^-0.3238</f>
        <v>1.8508117871991925</v>
      </c>
      <c r="F32" s="1" t="str">
        <f>C17</f>
        <v>120</v>
      </c>
      <c r="H32">
        <f>IF(C3=1,1,0)</f>
        <v>1</v>
      </c>
      <c r="I32">
        <f t="shared" si="0"/>
        <v>1</v>
      </c>
      <c r="J32">
        <f>IF($E$17&lt;=D32,1,0)</f>
        <v>1</v>
      </c>
      <c r="K32">
        <f t="shared" si="3"/>
        <v>1</v>
      </c>
      <c r="L32">
        <f>IF(C9=0,0,1)</f>
        <v>0</v>
      </c>
      <c r="M32">
        <f t="shared" si="2"/>
        <v>0</v>
      </c>
      <c r="O32">
        <f t="shared" si="1"/>
        <v>0</v>
      </c>
    </row>
    <row r="33" spans="3:15" ht="12.75">
      <c r="C33" s="2">
        <v>300</v>
      </c>
      <c r="D33" s="2">
        <v>500</v>
      </c>
      <c r="E33">
        <f>1.832*F33^-0.0651</f>
        <v>1.3414385109574225</v>
      </c>
      <c r="F33" s="1" t="str">
        <f>C17</f>
        <v>120</v>
      </c>
      <c r="H33">
        <f>IF(C3=2,1,0)</f>
        <v>0</v>
      </c>
      <c r="I33">
        <f t="shared" si="0"/>
        <v>0</v>
      </c>
      <c r="J33">
        <f>IF($E$17&lt;D33,1,0)</f>
        <v>1</v>
      </c>
      <c r="K33">
        <f t="shared" si="3"/>
        <v>0</v>
      </c>
      <c r="L33">
        <f>IF(C9=0,0,1)</f>
        <v>0</v>
      </c>
      <c r="M33">
        <f t="shared" si="2"/>
        <v>0</v>
      </c>
      <c r="O33">
        <f t="shared" si="1"/>
        <v>0</v>
      </c>
    </row>
    <row r="34" spans="3:15" ht="12.75">
      <c r="C34" s="2">
        <v>500</v>
      </c>
      <c r="D34" s="2">
        <v>10000</v>
      </c>
      <c r="E34">
        <f>4.3383*F34^-0.2071</f>
        <v>1.6096117910927779</v>
      </c>
      <c r="F34" s="1" t="str">
        <f>C17</f>
        <v>120</v>
      </c>
      <c r="H34">
        <f>IF(C3=2,1,0)</f>
        <v>0</v>
      </c>
      <c r="I34">
        <f t="shared" si="0"/>
        <v>0</v>
      </c>
      <c r="J34">
        <f>IF($E$17&lt;=D34,1,0)</f>
        <v>1</v>
      </c>
      <c r="K34">
        <f t="shared" si="3"/>
        <v>0</v>
      </c>
      <c r="L34">
        <f>IF(C9=0,0,1)</f>
        <v>0</v>
      </c>
      <c r="M34">
        <f t="shared" si="2"/>
        <v>0</v>
      </c>
      <c r="O34">
        <f t="shared" si="1"/>
        <v>0</v>
      </c>
    </row>
    <row r="36" spans="15:16" ht="12.75">
      <c r="O36">
        <f>SUM(O23:O34)</f>
        <v>5.81216044404664</v>
      </c>
      <c r="P36" t="s">
        <v>23</v>
      </c>
    </row>
    <row r="38" s="5" customFormat="1" ht="12.75">
      <c r="A38" s="5" t="s">
        <v>69</v>
      </c>
    </row>
    <row r="40" spans="2:7" ht="12.75">
      <c r="B40" s="4" t="s">
        <v>28</v>
      </c>
      <c r="C40" s="9">
        <f>Tabelle1!C24/100</f>
        <v>0.0399999</v>
      </c>
      <c r="D40" s="4"/>
      <c r="E40" s="4" t="s">
        <v>29</v>
      </c>
      <c r="F40" s="8">
        <f>1+C40</f>
        <v>1.0399999</v>
      </c>
      <c r="G40" s="4"/>
    </row>
    <row r="41" spans="2:7" ht="12.75">
      <c r="B41" s="4" t="s">
        <v>30</v>
      </c>
      <c r="C41" s="9">
        <f>Tabelle1!C28/100</f>
        <v>0.06</v>
      </c>
      <c r="D41" s="4"/>
      <c r="E41" s="4" t="s">
        <v>31</v>
      </c>
      <c r="F41" s="4">
        <f>1+C41</f>
        <v>1.06</v>
      </c>
      <c r="G41" s="4"/>
    </row>
    <row r="42" spans="2:7" ht="12.75">
      <c r="B42" s="4" t="s">
        <v>32</v>
      </c>
      <c r="C42" s="12">
        <f>Tabelle1!C25</f>
        <v>15</v>
      </c>
      <c r="D42" s="4"/>
      <c r="E42" s="4"/>
      <c r="F42" s="4"/>
      <c r="G42" s="4"/>
    </row>
    <row r="43" spans="2:7" ht="12.75">
      <c r="B43" s="4" t="s">
        <v>35</v>
      </c>
      <c r="C43" s="9" t="str">
        <f>Tabelle1!C26</f>
        <v>0,06</v>
      </c>
      <c r="D43" s="4" t="s">
        <v>36</v>
      </c>
      <c r="E43" s="4" t="s">
        <v>37</v>
      </c>
      <c r="F43" s="4"/>
      <c r="G43" s="4"/>
    </row>
    <row r="44" spans="2:7" ht="12.75">
      <c r="B44" s="4" t="s">
        <v>35</v>
      </c>
      <c r="C44" s="9" t="str">
        <f>Tabelle1!C27</f>
        <v>0,20</v>
      </c>
      <c r="D44" s="4" t="s">
        <v>38</v>
      </c>
      <c r="E44" s="4" t="s">
        <v>37</v>
      </c>
      <c r="F44" s="4"/>
      <c r="G44" s="4"/>
    </row>
    <row r="45" spans="2:7" ht="12.75">
      <c r="B45" s="4"/>
      <c r="C45" s="9"/>
      <c r="D45" s="4"/>
      <c r="E45" s="4"/>
      <c r="F45" s="4"/>
      <c r="G45" s="4"/>
    </row>
    <row r="46" spans="2:7" ht="12.75">
      <c r="B46" s="4" t="s">
        <v>33</v>
      </c>
      <c r="C46" s="9">
        <f>C40/(1-(F40^(-C42)))</f>
        <v>0.0899410374806442</v>
      </c>
      <c r="D46" s="4"/>
      <c r="E46" s="4"/>
      <c r="F46" s="4"/>
      <c r="G46" s="4"/>
    </row>
    <row r="47" spans="2:7" ht="12.75">
      <c r="B47" s="4" t="s">
        <v>34</v>
      </c>
      <c r="C47" s="9">
        <f>(F41/(C40-C41))*C40*((F40^C42-F41^C42)/(F40^C42-1))</f>
        <v>1.5765197676306875</v>
      </c>
      <c r="D47" s="4"/>
      <c r="E47" s="4"/>
      <c r="F47" s="4"/>
      <c r="G47" s="4"/>
    </row>
    <row r="48" spans="2:8" ht="12.75">
      <c r="B48" s="4"/>
      <c r="C48" s="4"/>
      <c r="D48" s="4"/>
      <c r="E48" s="4"/>
      <c r="F48" s="4"/>
      <c r="G48" s="4"/>
      <c r="H48" s="3"/>
    </row>
    <row r="49" spans="1:7" s="5" customFormat="1" ht="12.75">
      <c r="A49" s="5" t="s">
        <v>44</v>
      </c>
      <c r="B49" s="7"/>
      <c r="C49" s="7"/>
      <c r="D49" s="7"/>
      <c r="E49" s="7"/>
      <c r="F49" s="7"/>
      <c r="G49" s="7"/>
    </row>
    <row r="50" spans="3:8" ht="12.75">
      <c r="C50" s="3"/>
      <c r="D50" s="3"/>
      <c r="E50" s="3"/>
      <c r="F50" s="3"/>
      <c r="G50" s="3"/>
      <c r="H50" s="3"/>
    </row>
    <row r="51" spans="2:4" ht="12.75">
      <c r="B51" t="s">
        <v>44</v>
      </c>
      <c r="C51">
        <f>O36*C46</f>
        <v>0.5227517403415165</v>
      </c>
      <c r="D51" t="s">
        <v>39</v>
      </c>
    </row>
    <row r="53" s="5" customFormat="1" ht="12.75">
      <c r="A53" s="5" t="s">
        <v>70</v>
      </c>
    </row>
    <row r="55" spans="2:5" ht="12.75">
      <c r="B55" t="s">
        <v>45</v>
      </c>
      <c r="C55" s="11">
        <v>2</v>
      </c>
      <c r="E55" t="s">
        <v>46</v>
      </c>
    </row>
    <row r="57" spans="2:5" ht="12.75">
      <c r="B57" t="s">
        <v>50</v>
      </c>
      <c r="C57" t="s">
        <v>47</v>
      </c>
      <c r="D57" t="s">
        <v>48</v>
      </c>
      <c r="E57" t="s">
        <v>49</v>
      </c>
    </row>
    <row r="58" spans="2:5" ht="12.75">
      <c r="B58" t="s">
        <v>36</v>
      </c>
      <c r="C58" s="1">
        <v>0</v>
      </c>
      <c r="D58" s="1">
        <v>10</v>
      </c>
      <c r="E58" s="1">
        <v>10</v>
      </c>
    </row>
    <row r="59" spans="2:5" ht="12.75">
      <c r="B59" t="s">
        <v>38</v>
      </c>
      <c r="C59" s="1">
        <v>0.3</v>
      </c>
      <c r="D59" s="1">
        <v>0.3</v>
      </c>
      <c r="E59" s="1">
        <v>0.3</v>
      </c>
    </row>
    <row r="61" spans="2:5" ht="12.75">
      <c r="B61" t="s">
        <v>16</v>
      </c>
      <c r="C61">
        <f>IF(C55=1,1,0)</f>
        <v>0</v>
      </c>
      <c r="D61">
        <f>IF(C55=2,1,0)</f>
        <v>1</v>
      </c>
      <c r="E61">
        <f>IF(C55=3,1,0)</f>
        <v>0</v>
      </c>
    </row>
    <row r="63" spans="2:6" ht="12.75">
      <c r="B63" t="s">
        <v>51</v>
      </c>
      <c r="C63">
        <f>C58*C43+C59*C44</f>
        <v>0.06</v>
      </c>
      <c r="D63">
        <f>D58*C43+D59*C44</f>
        <v>0.6599999999999999</v>
      </c>
      <c r="E63">
        <f>E58*C43+E59*C44</f>
        <v>0.6599999999999999</v>
      </c>
      <c r="F63" t="s">
        <v>39</v>
      </c>
    </row>
    <row r="64" spans="2:6" ht="12.75">
      <c r="B64" t="s">
        <v>52</v>
      </c>
      <c r="C64">
        <f>C63*C47</f>
        <v>0.09459118605784124</v>
      </c>
      <c r="D64">
        <f>D63*C47</f>
        <v>1.0405030466362537</v>
      </c>
      <c r="E64">
        <f>E63*C47</f>
        <v>1.0405030466362537</v>
      </c>
      <c r="F64" t="s">
        <v>39</v>
      </c>
    </row>
    <row r="66" spans="2:7" ht="12.75">
      <c r="B66" t="s">
        <v>53</v>
      </c>
      <c r="C66" s="1">
        <f>C63*C61</f>
        <v>0</v>
      </c>
      <c r="D66" s="1">
        <f>D63*D61</f>
        <v>0.6599999999999999</v>
      </c>
      <c r="E66" s="1">
        <f>E63*E61</f>
        <v>0</v>
      </c>
      <c r="G66" s="1">
        <f>SUM(C66:E66)</f>
        <v>0.6599999999999999</v>
      </c>
    </row>
    <row r="67" spans="3:7" ht="12.75">
      <c r="C67" s="1">
        <f>C64*C61</f>
        <v>0</v>
      </c>
      <c r="D67" s="1">
        <f>D64*D61</f>
        <v>1.0405030466362537</v>
      </c>
      <c r="E67" s="1">
        <f>E64*E61</f>
        <v>0</v>
      </c>
      <c r="G67" s="1">
        <f>SUM(C67:E67)</f>
        <v>1.0405030466362537</v>
      </c>
    </row>
    <row r="69" s="5" customFormat="1" ht="12.75"/>
    <row r="71" spans="2:4" ht="12.75">
      <c r="B71" t="s">
        <v>57</v>
      </c>
      <c r="C71" t="s">
        <v>54</v>
      </c>
      <c r="D71" s="13">
        <f>IF(G17="Fehler",0,C51)</f>
        <v>0.5227517403415165</v>
      </c>
    </row>
    <row r="72" spans="3:4" ht="12.75">
      <c r="C72" t="s">
        <v>55</v>
      </c>
      <c r="D72" s="13">
        <f>IF(G17="Fehler",0,G67)</f>
        <v>1.0405030466362537</v>
      </c>
    </row>
    <row r="74" spans="3:4" ht="12.75">
      <c r="C74" t="s">
        <v>56</v>
      </c>
      <c r="D74" s="11" t="str">
        <f>IF(G17="Fehler",C79,IF(D72&lt;D71,"Es ist leider mit der Optimierung in diesem Objekt keine Wirtschaftlichkeit erreichbar.","Die Optimierung der Heizungsanlage ist in diesem Gebäude wirtschaftlich!"))</f>
        <v>Die Optimierung der Heizungsanlage ist in diesem Gebäude wirtschaftlich!</v>
      </c>
    </row>
    <row r="77" s="5" customFormat="1" ht="12.75">
      <c r="B77" s="5" t="s">
        <v>65</v>
      </c>
    </row>
    <row r="79" ht="12.75">
      <c r="C79" s="11">
        <f>IF(G17="Fehler","Bitte Gebäudefläche korrigieren!","")</f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Jagnow</dc:creator>
  <cp:keywords/>
  <dc:description/>
  <cp:lastModifiedBy> Bruno Bosy</cp:lastModifiedBy>
  <dcterms:created xsi:type="dcterms:W3CDTF">2005-06-07T08:04:43Z</dcterms:created>
  <dcterms:modified xsi:type="dcterms:W3CDTF">2005-11-03T05:30:26Z</dcterms:modified>
  <cp:category/>
  <cp:version/>
  <cp:contentType/>
  <cp:contentStatus/>
</cp:coreProperties>
</file>