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05" windowHeight="8925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 fullPrecision="0"/>
</workbook>
</file>

<file path=xl/sharedStrings.xml><?xml version="1.0" encoding="utf-8"?>
<sst xmlns="http://schemas.openxmlformats.org/spreadsheetml/2006/main" count="165" uniqueCount="94">
  <si>
    <t>Berechnungsformblatt für Fußbodenheizung (VPE-Rohr 17 x 2)</t>
  </si>
  <si>
    <t>Bauherr:</t>
  </si>
  <si>
    <t>Bauvorhaben:</t>
  </si>
  <si>
    <t>Heizmittelübertemperatur           ° C</t>
  </si>
  <si>
    <t>Bauort:</t>
  </si>
  <si>
    <t>Auslegungsvorlauftemperatur  45 ° C</t>
  </si>
  <si>
    <t>Projekt:</t>
  </si>
  <si>
    <t xml:space="preserve">Temperaturspreizung max.                 </t>
  </si>
  <si>
    <t>°C</t>
  </si>
  <si>
    <t>Raum</t>
  </si>
  <si>
    <t>Bezeichnung</t>
  </si>
  <si>
    <t xml:space="preserve">Raum- </t>
  </si>
  <si>
    <t>Heiz-</t>
  </si>
  <si>
    <t>max.</t>
  </si>
  <si>
    <t>Übertem-</t>
  </si>
  <si>
    <t>gesamt</t>
  </si>
  <si>
    <t>Wärme-</t>
  </si>
  <si>
    <t>Spezif.</t>
  </si>
  <si>
    <t>Ausle-</t>
  </si>
  <si>
    <t>Rohr-</t>
  </si>
  <si>
    <t>Boden-</t>
  </si>
  <si>
    <t>Ober-</t>
  </si>
  <si>
    <t>Gesamt-</t>
  </si>
  <si>
    <t>Teil- /</t>
  </si>
  <si>
    <t>kalkul.</t>
  </si>
  <si>
    <t>Anbin-</t>
  </si>
  <si>
    <t>Nr.</t>
  </si>
  <si>
    <t>temp.</t>
  </si>
  <si>
    <t xml:space="preserve"> Ober-</t>
  </si>
  <si>
    <t>bedarf</t>
  </si>
  <si>
    <t>fläche</t>
  </si>
  <si>
    <t>gungs-</t>
  </si>
  <si>
    <t>ab-</t>
  </si>
  <si>
    <t>länge</t>
  </si>
  <si>
    <t>belag</t>
  </si>
  <si>
    <t>abgabe</t>
  </si>
  <si>
    <t>dungs-</t>
  </si>
  <si>
    <t>flächen-</t>
  </si>
  <si>
    <t>pro</t>
  </si>
  <si>
    <t>stand</t>
  </si>
  <si>
    <t>Länge</t>
  </si>
  <si>
    <t>Qh/m²</t>
  </si>
  <si>
    <t>strom-</t>
  </si>
  <si>
    <t>qm</t>
  </si>
  <si>
    <t>leitwider-</t>
  </si>
  <si>
    <t>Kreis</t>
  </si>
  <si>
    <t>Je Heizkreis</t>
  </si>
  <si>
    <t>dichte</t>
  </si>
  <si>
    <t>kreis</t>
  </si>
  <si>
    <t>tm</t>
  </si>
  <si>
    <r>
      <t>t</t>
    </r>
    <r>
      <rPr>
        <vertAlign val="subscript"/>
        <sz val="8"/>
        <rFont val="Arial Narrow"/>
        <family val="2"/>
      </rPr>
      <t>Fb</t>
    </r>
  </si>
  <si>
    <r>
      <t>t</t>
    </r>
    <r>
      <rPr>
        <vertAlign val="subscript"/>
        <sz val="8"/>
        <rFont val="Arial Narrow"/>
        <family val="2"/>
      </rPr>
      <t>Fb</t>
    </r>
    <r>
      <rPr>
        <sz val="8"/>
        <rFont val="Arial Narrow"/>
        <family val="2"/>
      </rPr>
      <t xml:space="preserve"> - t</t>
    </r>
    <r>
      <rPr>
        <vertAlign val="subscript"/>
        <sz val="8"/>
        <rFont val="Arial Narrow"/>
        <family val="2"/>
      </rPr>
      <t>R</t>
    </r>
  </si>
  <si>
    <t>Qh</t>
  </si>
  <si>
    <t>a</t>
  </si>
  <si>
    <t>b</t>
  </si>
  <si>
    <t>gewählt</t>
  </si>
  <si>
    <t>R</t>
  </si>
  <si>
    <t>Ages:</t>
  </si>
  <si>
    <t>A1</t>
  </si>
  <si>
    <t>A2</t>
  </si>
  <si>
    <t>A3</t>
  </si>
  <si>
    <t>A4</t>
  </si>
  <si>
    <t>° C</t>
  </si>
  <si>
    <t>W</t>
  </si>
  <si>
    <t>m</t>
  </si>
  <si>
    <t>W/qm</t>
  </si>
  <si>
    <t>cm</t>
  </si>
  <si>
    <t>m/m²</t>
  </si>
  <si>
    <r>
      <t>m</t>
    </r>
    <r>
      <rPr>
        <vertAlign val="superscript"/>
        <sz val="8"/>
        <rFont val="Arial Narrow"/>
        <family val="2"/>
      </rPr>
      <t xml:space="preserve">2 </t>
    </r>
    <r>
      <rPr>
        <sz val="8"/>
        <rFont val="Arial Narrow"/>
        <family val="2"/>
      </rPr>
      <t>K/W</t>
    </r>
  </si>
  <si>
    <t>W/h</t>
  </si>
  <si>
    <t xml:space="preserve">m2 </t>
  </si>
  <si>
    <r>
      <t>m</t>
    </r>
    <r>
      <rPr>
        <vertAlign val="superscript"/>
        <sz val="8"/>
        <rFont val="Arial Narrow"/>
        <family val="2"/>
      </rPr>
      <t xml:space="preserve">2 </t>
    </r>
  </si>
  <si>
    <t>l/h</t>
  </si>
  <si>
    <t>Pa</t>
  </si>
  <si>
    <t>mm WS</t>
  </si>
  <si>
    <t>Kpa</t>
  </si>
  <si>
    <t>1 bis 5</t>
  </si>
  <si>
    <t>l / m</t>
  </si>
  <si>
    <t>Liter</t>
  </si>
  <si>
    <t>Fliesen</t>
  </si>
  <si>
    <t>Treppenhaus</t>
  </si>
  <si>
    <t>Putz</t>
  </si>
  <si>
    <t>Flur</t>
  </si>
  <si>
    <t>Wohnz.</t>
  </si>
  <si>
    <t>"</t>
  </si>
  <si>
    <t>Wohnzimmer RZ</t>
  </si>
  <si>
    <t>Vorrat</t>
  </si>
  <si>
    <t>HWR.</t>
  </si>
  <si>
    <t>Büro</t>
  </si>
  <si>
    <t>Küche 1</t>
  </si>
  <si>
    <t>Küche 2</t>
  </si>
  <si>
    <t>Wandheizung Treppenhaus</t>
  </si>
  <si>
    <t>GWC incl. Wandheizung</t>
  </si>
  <si>
    <t>l/min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</si>
</sst>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000"/>
    <numFmt numFmtId="181" formatCode="0.0"/>
    <numFmt numFmtId="182" formatCode="0.00_ ;[Red]\-0.00\ 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8"/>
      <name val="Arial Narrow"/>
      <family val="2"/>
    </font>
    <font>
      <vertAlign val="subscript"/>
      <sz val="8"/>
      <name val="Arial Narrow"/>
      <family val="2"/>
    </font>
    <font>
      <vertAlign val="superscript"/>
      <sz val="8"/>
      <name val="Arial Narrow"/>
      <family val="2"/>
    </font>
    <font>
      <sz val="10"/>
      <color indexed="10"/>
      <name val="Arial"/>
      <family val="0"/>
    </font>
    <font>
      <sz val="8"/>
      <color indexed="10"/>
      <name val="Arial Narrow"/>
      <family val="2"/>
    </font>
    <font>
      <sz val="10"/>
      <color indexed="39"/>
      <name val="Arial"/>
      <family val="0"/>
    </font>
    <font>
      <sz val="8"/>
      <color indexed="39"/>
      <name val="Arial Narrow"/>
      <family val="2"/>
    </font>
    <font>
      <i/>
      <sz val="8"/>
      <color indexed="56"/>
      <name val="Arial Narrow"/>
      <family val="2"/>
    </font>
    <font>
      <sz val="8"/>
      <color indexed="12"/>
      <name val="Arial Narrow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16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" fontId="0" fillId="0" borderId="0" xfId="0" applyNumberFormat="1" applyAlignment="1">
      <alignment/>
    </xf>
    <xf numFmtId="2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" fontId="13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82" fontId="14" fillId="0" borderId="0" xfId="0" applyNumberFormat="1" applyFont="1" applyAlignment="1">
      <alignment horizontal="right"/>
    </xf>
    <xf numFmtId="182" fontId="12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Alignment="1">
      <alignment vertical="center"/>
    </xf>
    <xf numFmtId="2" fontId="9" fillId="0" borderId="0" xfId="0" applyNumberFormat="1" applyFont="1" applyAlignment="1">
      <alignment/>
    </xf>
    <xf numFmtId="179" fontId="0" fillId="0" borderId="0" xfId="15" applyAlignment="1">
      <alignment/>
    </xf>
    <xf numFmtId="179" fontId="0" fillId="0" borderId="0" xfId="15" applyFont="1" applyAlignment="1">
      <alignment/>
    </xf>
    <xf numFmtId="179" fontId="6" fillId="0" borderId="0" xfId="15" applyFont="1" applyAlignment="1">
      <alignment/>
    </xf>
    <xf numFmtId="179" fontId="6" fillId="0" borderId="0" xfId="15" applyFont="1" applyAlignment="1">
      <alignment horizontal="center"/>
    </xf>
    <xf numFmtId="179" fontId="6" fillId="0" borderId="0" xfId="15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361950</xdr:colOff>
      <xdr:row>12</xdr:row>
      <xdr:rowOff>38100</xdr:rowOff>
    </xdr:from>
    <xdr:to>
      <xdr:col>15</xdr:col>
      <xdr:colOff>400050</xdr:colOff>
      <xdr:row>12</xdr:row>
      <xdr:rowOff>171450</xdr:rowOff>
    </xdr:to>
    <xdr:sp>
      <xdr:nvSpPr>
        <xdr:cNvPr id="1" name="Line 8"/>
        <xdr:cNvSpPr>
          <a:spLocks/>
        </xdr:cNvSpPr>
      </xdr:nvSpPr>
      <xdr:spPr>
        <a:xfrm>
          <a:off x="6153150" y="2171700"/>
          <a:ext cx="3810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304800</xdr:colOff>
      <xdr:row>12</xdr:row>
      <xdr:rowOff>38100</xdr:rowOff>
    </xdr:from>
    <xdr:to>
      <xdr:col>15</xdr:col>
      <xdr:colOff>352425</xdr:colOff>
      <xdr:row>12</xdr:row>
      <xdr:rowOff>66675</xdr:rowOff>
    </xdr:to>
    <xdr:sp>
      <xdr:nvSpPr>
        <xdr:cNvPr id="2" name="Zeichnung 9"/>
        <xdr:cNvSpPr>
          <a:spLocks/>
        </xdr:cNvSpPr>
      </xdr:nvSpPr>
      <xdr:spPr>
        <a:xfrm>
          <a:off x="6096000" y="2171700"/>
          <a:ext cx="47625" cy="28575"/>
        </a:xfrm>
        <a:custGeom>
          <a:pathLst>
            <a:path h="16384" w="16384">
              <a:moveTo>
                <a:pt x="16384" y="0"/>
              </a:moveTo>
              <a:lnTo>
                <a:pt x="6554" y="0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333375</xdr:colOff>
      <xdr:row>12</xdr:row>
      <xdr:rowOff>95250</xdr:rowOff>
    </xdr:from>
    <xdr:to>
      <xdr:col>15</xdr:col>
      <xdr:colOff>390525</xdr:colOff>
      <xdr:row>12</xdr:row>
      <xdr:rowOff>171450</xdr:rowOff>
    </xdr:to>
    <xdr:sp>
      <xdr:nvSpPr>
        <xdr:cNvPr id="3" name="Line 10"/>
        <xdr:cNvSpPr>
          <a:spLocks/>
        </xdr:cNvSpPr>
      </xdr:nvSpPr>
      <xdr:spPr>
        <a:xfrm flipH="1">
          <a:off x="6124575" y="2228850"/>
          <a:ext cx="571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19050</xdr:colOff>
      <xdr:row>7</xdr:row>
      <xdr:rowOff>19050</xdr:rowOff>
    </xdr:from>
    <xdr:to>
      <xdr:col>29</xdr:col>
      <xdr:colOff>409575</xdr:colOff>
      <xdr:row>12</xdr:row>
      <xdr:rowOff>161925</xdr:rowOff>
    </xdr:to>
    <xdr:sp>
      <xdr:nvSpPr>
        <xdr:cNvPr id="4" name="Text 12"/>
        <xdr:cNvSpPr txBox="1">
          <a:spLocks noChangeArrowheads="1"/>
        </xdr:cNvSpPr>
      </xdr:nvSpPr>
      <xdr:spPr>
        <a:xfrm>
          <a:off x="11134725" y="1295400"/>
          <a:ext cx="39052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Druckverlust Heizkreis</a:t>
          </a:r>
        </a:p>
      </xdr:txBody>
    </xdr:sp>
    <xdr:clientData/>
  </xdr:twoCellAnchor>
  <xdr:twoCellAnchor>
    <xdr:from>
      <xdr:col>31</xdr:col>
      <xdr:colOff>0</xdr:colOff>
      <xdr:row>7</xdr:row>
      <xdr:rowOff>0</xdr:rowOff>
    </xdr:from>
    <xdr:to>
      <xdr:col>31</xdr:col>
      <xdr:colOff>352425</xdr:colOff>
      <xdr:row>12</xdr:row>
      <xdr:rowOff>161925</xdr:rowOff>
    </xdr:to>
    <xdr:sp>
      <xdr:nvSpPr>
        <xdr:cNvPr id="5" name="Text 13"/>
        <xdr:cNvSpPr txBox="1">
          <a:spLocks noChangeArrowheads="1"/>
        </xdr:cNvSpPr>
      </xdr:nvSpPr>
      <xdr:spPr>
        <a:xfrm>
          <a:off x="11972925" y="1276350"/>
          <a:ext cx="352425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Druckverlust Vorlafventil</a:t>
          </a:r>
        </a:p>
      </xdr:txBody>
    </xdr:sp>
    <xdr:clientData/>
  </xdr:twoCellAnchor>
  <xdr:twoCellAnchor>
    <xdr:from>
      <xdr:col>33</xdr:col>
      <xdr:colOff>19050</xdr:colOff>
      <xdr:row>7</xdr:row>
      <xdr:rowOff>9525</xdr:rowOff>
    </xdr:from>
    <xdr:to>
      <xdr:col>33</xdr:col>
      <xdr:colOff>314325</xdr:colOff>
      <xdr:row>13</xdr:row>
      <xdr:rowOff>0</xdr:rowOff>
    </xdr:to>
    <xdr:sp>
      <xdr:nvSpPr>
        <xdr:cNvPr id="6" name="Text 14"/>
        <xdr:cNvSpPr txBox="1">
          <a:spLocks noChangeArrowheads="1"/>
        </xdr:cNvSpPr>
      </xdr:nvSpPr>
      <xdr:spPr>
        <a:xfrm>
          <a:off x="12792075" y="1285875"/>
          <a:ext cx="295275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Druckverlust Rücklaufventil</a:t>
          </a:r>
        </a:p>
      </xdr:txBody>
    </xdr:sp>
    <xdr:clientData/>
  </xdr:twoCellAnchor>
  <xdr:twoCellAnchor>
    <xdr:from>
      <xdr:col>35</xdr:col>
      <xdr:colOff>9525</xdr:colOff>
      <xdr:row>7</xdr:row>
      <xdr:rowOff>9525</xdr:rowOff>
    </xdr:from>
    <xdr:to>
      <xdr:col>35</xdr:col>
      <xdr:colOff>314325</xdr:colOff>
      <xdr:row>12</xdr:row>
      <xdr:rowOff>142875</xdr:rowOff>
    </xdr:to>
    <xdr:sp>
      <xdr:nvSpPr>
        <xdr:cNvPr id="7" name="Text 15"/>
        <xdr:cNvSpPr txBox="1">
          <a:spLocks noChangeArrowheads="1"/>
        </xdr:cNvSpPr>
      </xdr:nvSpPr>
      <xdr:spPr>
        <a:xfrm>
          <a:off x="13573125" y="1285875"/>
          <a:ext cx="304800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Voreinstellung Rücklaufventil</a:t>
          </a:r>
        </a:p>
      </xdr:txBody>
    </xdr:sp>
    <xdr:clientData/>
  </xdr:twoCellAnchor>
  <xdr:twoCellAnchor>
    <xdr:from>
      <xdr:col>37</xdr:col>
      <xdr:colOff>19050</xdr:colOff>
      <xdr:row>7</xdr:row>
      <xdr:rowOff>9525</xdr:rowOff>
    </xdr:from>
    <xdr:to>
      <xdr:col>37</xdr:col>
      <xdr:colOff>304800</xdr:colOff>
      <xdr:row>13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14316075" y="1285875"/>
          <a:ext cx="28575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Wassermenge </a:t>
          </a:r>
        </a:p>
      </xdr:txBody>
    </xdr:sp>
    <xdr:clientData/>
  </xdr:twoCellAnchor>
  <xdr:twoCellAnchor>
    <xdr:from>
      <xdr:col>38</xdr:col>
      <xdr:colOff>9525</xdr:colOff>
      <xdr:row>7</xdr:row>
      <xdr:rowOff>9525</xdr:rowOff>
    </xdr:from>
    <xdr:to>
      <xdr:col>38</xdr:col>
      <xdr:colOff>352425</xdr:colOff>
      <xdr:row>13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14649450" y="1285875"/>
          <a:ext cx="3429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Wassermenge 
 im Heizkreis</a:t>
          </a:r>
        </a:p>
      </xdr:txBody>
    </xdr:sp>
    <xdr:clientData/>
  </xdr:twoCellAnchor>
  <xdr:twoCellAnchor>
    <xdr:from>
      <xdr:col>30</xdr:col>
      <xdr:colOff>38100</xdr:colOff>
      <xdr:row>7</xdr:row>
      <xdr:rowOff>19050</xdr:rowOff>
    </xdr:from>
    <xdr:to>
      <xdr:col>30</xdr:col>
      <xdr:colOff>409575</xdr:colOff>
      <xdr:row>13</xdr:row>
      <xdr:rowOff>0</xdr:rowOff>
    </xdr:to>
    <xdr:sp>
      <xdr:nvSpPr>
        <xdr:cNvPr id="10" name="Text 18"/>
        <xdr:cNvSpPr txBox="1">
          <a:spLocks noChangeArrowheads="1"/>
        </xdr:cNvSpPr>
      </xdr:nvSpPr>
      <xdr:spPr>
        <a:xfrm>
          <a:off x="11582400" y="1295400"/>
          <a:ext cx="37147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Druckverlust Heizkreis</a:t>
          </a:r>
        </a:p>
      </xdr:txBody>
    </xdr:sp>
    <xdr:clientData/>
  </xdr:twoCellAnchor>
  <xdr:twoCellAnchor>
    <xdr:from>
      <xdr:col>34</xdr:col>
      <xdr:colOff>19050</xdr:colOff>
      <xdr:row>7</xdr:row>
      <xdr:rowOff>28575</xdr:rowOff>
    </xdr:from>
    <xdr:to>
      <xdr:col>34</xdr:col>
      <xdr:colOff>400050</xdr:colOff>
      <xdr:row>12</xdr:row>
      <xdr:rowOff>161925</xdr:rowOff>
    </xdr:to>
    <xdr:sp>
      <xdr:nvSpPr>
        <xdr:cNvPr id="11" name="Text 20"/>
        <xdr:cNvSpPr txBox="1">
          <a:spLocks noChangeArrowheads="1"/>
        </xdr:cNvSpPr>
      </xdr:nvSpPr>
      <xdr:spPr>
        <a:xfrm>
          <a:off x="13154025" y="1304925"/>
          <a:ext cx="381000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Druckverlust Rücklaufventil
</a:t>
          </a:r>
        </a:p>
      </xdr:txBody>
    </xdr:sp>
    <xdr:clientData/>
  </xdr:twoCellAnchor>
  <xdr:twoCellAnchor>
    <xdr:from>
      <xdr:col>36</xdr:col>
      <xdr:colOff>57150</xdr:colOff>
      <xdr:row>7</xdr:row>
      <xdr:rowOff>0</xdr:rowOff>
    </xdr:from>
    <xdr:to>
      <xdr:col>36</xdr:col>
      <xdr:colOff>361950</xdr:colOff>
      <xdr:row>12</xdr:row>
      <xdr:rowOff>161925</xdr:rowOff>
    </xdr:to>
    <xdr:sp>
      <xdr:nvSpPr>
        <xdr:cNvPr id="12" name="Text 21"/>
        <xdr:cNvSpPr txBox="1">
          <a:spLocks noChangeArrowheads="1"/>
        </xdr:cNvSpPr>
      </xdr:nvSpPr>
      <xdr:spPr>
        <a:xfrm>
          <a:off x="13944600" y="1276350"/>
          <a:ext cx="3048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Druckverlust Rohr und Ventil</a:t>
          </a:r>
        </a:p>
      </xdr:txBody>
    </xdr:sp>
    <xdr:clientData/>
  </xdr:twoCellAnchor>
  <xdr:twoCellAnchor>
    <xdr:from>
      <xdr:col>27</xdr:col>
      <xdr:colOff>0</xdr:colOff>
      <xdr:row>7</xdr:row>
      <xdr:rowOff>19050</xdr:rowOff>
    </xdr:from>
    <xdr:to>
      <xdr:col>27</xdr:col>
      <xdr:colOff>409575</xdr:colOff>
      <xdr:row>13</xdr:row>
      <xdr:rowOff>9525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10077450" y="1295400"/>
          <a:ext cx="409575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Wassermenge  pro Stunde
</a:t>
          </a:r>
        </a:p>
      </xdr:txBody>
    </xdr:sp>
    <xdr:clientData/>
  </xdr:twoCellAnchor>
  <xdr:twoCellAnchor>
    <xdr:from>
      <xdr:col>32</xdr:col>
      <xdr:colOff>38100</xdr:colOff>
      <xdr:row>7</xdr:row>
      <xdr:rowOff>0</xdr:rowOff>
    </xdr:from>
    <xdr:to>
      <xdr:col>32</xdr:col>
      <xdr:colOff>409575</xdr:colOff>
      <xdr:row>13</xdr:row>
      <xdr:rowOff>0</xdr:rowOff>
    </xdr:to>
    <xdr:sp>
      <xdr:nvSpPr>
        <xdr:cNvPr id="14" name="Text 24"/>
        <xdr:cNvSpPr txBox="1">
          <a:spLocks noChangeArrowheads="1"/>
        </xdr:cNvSpPr>
      </xdr:nvSpPr>
      <xdr:spPr>
        <a:xfrm>
          <a:off x="12382500" y="1276350"/>
          <a:ext cx="37147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Druckverlust Vorlaufventil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7"/>
  <sheetViews>
    <sheetView tabSelected="1" zoomScale="125" zoomScaleNormal="125" workbookViewId="0" topLeftCell="B1">
      <selection activeCell="O7" sqref="O7"/>
    </sheetView>
  </sheetViews>
  <sheetFormatPr defaultColWidth="11.421875" defaultRowHeight="12.75"/>
  <cols>
    <col min="1" max="1" width="4.140625" style="0" customWidth="1"/>
    <col min="2" max="2" width="14.28125" style="0" customWidth="1"/>
    <col min="3" max="3" width="4.7109375" style="0" customWidth="1"/>
    <col min="4" max="4" width="3.8515625" style="0" customWidth="1"/>
    <col min="5" max="5" width="4.7109375" style="0" customWidth="1"/>
    <col min="6" max="6" width="5.57421875" style="0" customWidth="1"/>
    <col min="7" max="7" width="5.421875" style="0" customWidth="1"/>
    <col min="8" max="8" width="5.140625" style="0" customWidth="1"/>
    <col min="9" max="9" width="5.7109375" style="0" customWidth="1"/>
    <col min="10" max="10" width="6.28125" style="0" customWidth="1"/>
    <col min="11" max="11" width="6.421875" style="0" customWidth="1"/>
    <col min="12" max="12" width="5.8515625" style="17" customWidth="1"/>
    <col min="13" max="13" width="4.421875" style="12" customWidth="1"/>
    <col min="14" max="14" width="4.57421875" style="0" customWidth="1"/>
    <col min="15" max="15" width="5.7109375" style="0" customWidth="1"/>
    <col min="16" max="16" width="6.00390625" style="0" customWidth="1"/>
    <col min="17" max="19" width="6.140625" style="0" customWidth="1"/>
    <col min="20" max="20" width="4.57421875" style="0" customWidth="1"/>
    <col min="21" max="21" width="4.28125" style="0" customWidth="1"/>
    <col min="22" max="23" width="4.140625" style="0" customWidth="1"/>
    <col min="24" max="24" width="5.140625" style="17" customWidth="1"/>
    <col min="25" max="25" width="5.57421875" style="0" customWidth="1"/>
    <col min="26" max="26" width="5.28125" style="0" customWidth="1"/>
    <col min="27" max="27" width="6.7109375" style="12" bestFit="1" customWidth="1"/>
    <col min="28" max="28" width="6.28125" style="0" customWidth="1"/>
    <col min="29" max="29" width="9.28125" style="34" bestFit="1" customWidth="1"/>
    <col min="30" max="31" width="6.421875" style="0" customWidth="1"/>
    <col min="32" max="32" width="5.57421875" style="0" customWidth="1"/>
    <col min="33" max="33" width="6.421875" style="0" customWidth="1"/>
    <col min="34" max="34" width="5.421875" style="0" customWidth="1"/>
    <col min="35" max="35" width="6.421875" style="0" customWidth="1"/>
    <col min="36" max="36" width="4.8515625" style="0" customWidth="1"/>
    <col min="37" max="37" width="6.140625" style="0" customWidth="1"/>
    <col min="38" max="38" width="5.140625" style="0" customWidth="1"/>
    <col min="39" max="39" width="5.421875" style="0" customWidth="1"/>
  </cols>
  <sheetData>
    <row r="1" ht="16.5" customHeight="1">
      <c r="B1" s="1" t="s">
        <v>0</v>
      </c>
    </row>
    <row r="2" ht="16.5" customHeight="1">
      <c r="B2" s="1"/>
    </row>
    <row r="3" spans="2:29" s="2" customFormat="1" ht="16.5" customHeight="1">
      <c r="B3" s="2" t="s">
        <v>1</v>
      </c>
      <c r="L3" s="18"/>
      <c r="M3" s="13"/>
      <c r="X3" s="18"/>
      <c r="Z3" s="32"/>
      <c r="AA3" s="13"/>
      <c r="AC3" s="35"/>
    </row>
    <row r="4" spans="2:29" s="2" customFormat="1" ht="12.75">
      <c r="B4" t="s">
        <v>2</v>
      </c>
      <c r="K4" s="2" t="s">
        <v>3</v>
      </c>
      <c r="L4" s="18"/>
      <c r="M4" s="13"/>
      <c r="X4" s="18"/>
      <c r="AA4" s="13"/>
      <c r="AC4" s="35"/>
    </row>
    <row r="5" spans="2:15" ht="12.75">
      <c r="B5" t="s">
        <v>4</v>
      </c>
      <c r="K5" t="s">
        <v>5</v>
      </c>
      <c r="O5">
        <v>45</v>
      </c>
    </row>
    <row r="6" spans="2:16" ht="12.75">
      <c r="B6" t="s">
        <v>6</v>
      </c>
      <c r="K6" s="31" t="s">
        <v>7</v>
      </c>
      <c r="O6">
        <v>35</v>
      </c>
      <c r="P6" t="s">
        <v>8</v>
      </c>
    </row>
    <row r="8" spans="1:41" ht="13.5">
      <c r="A8" s="8" t="s">
        <v>9</v>
      </c>
      <c r="B8" s="8" t="s">
        <v>10</v>
      </c>
      <c r="C8" s="8" t="s">
        <v>11</v>
      </c>
      <c r="D8" s="8" t="s">
        <v>12</v>
      </c>
      <c r="E8" s="7" t="s">
        <v>13</v>
      </c>
      <c r="F8" s="7" t="s">
        <v>14</v>
      </c>
      <c r="G8" s="7" t="s">
        <v>15</v>
      </c>
      <c r="H8" s="7" t="s">
        <v>16</v>
      </c>
      <c r="I8" s="7" t="s">
        <v>12</v>
      </c>
      <c r="J8" s="7" t="s">
        <v>12</v>
      </c>
      <c r="K8" s="8" t="s">
        <v>17</v>
      </c>
      <c r="L8" s="19" t="s">
        <v>18</v>
      </c>
      <c r="M8" s="14" t="s">
        <v>19</v>
      </c>
      <c r="N8" s="8" t="s">
        <v>19</v>
      </c>
      <c r="O8" s="8" t="s">
        <v>20</v>
      </c>
      <c r="P8" s="7" t="s">
        <v>21</v>
      </c>
      <c r="Q8" s="8" t="s">
        <v>16</v>
      </c>
      <c r="R8" s="8"/>
      <c r="S8" s="19" t="s">
        <v>22</v>
      </c>
      <c r="T8" s="8" t="s">
        <v>23</v>
      </c>
      <c r="U8" s="8" t="s">
        <v>23</v>
      </c>
      <c r="V8" s="8" t="s">
        <v>23</v>
      </c>
      <c r="W8" s="8" t="s">
        <v>23</v>
      </c>
      <c r="X8" s="19" t="s">
        <v>24</v>
      </c>
      <c r="Y8" s="8" t="s">
        <v>19</v>
      </c>
      <c r="Z8" s="8" t="s">
        <v>25</v>
      </c>
      <c r="AA8" s="14" t="s">
        <v>19</v>
      </c>
      <c r="AB8" s="8"/>
      <c r="AC8" s="36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</row>
    <row r="9" spans="1:41" ht="13.5">
      <c r="A9" s="7" t="s">
        <v>26</v>
      </c>
      <c r="B9" s="8"/>
      <c r="C9" s="8" t="s">
        <v>27</v>
      </c>
      <c r="D9" s="8" t="s">
        <v>27</v>
      </c>
      <c r="E9" s="7" t="s">
        <v>28</v>
      </c>
      <c r="F9" s="7" t="s">
        <v>27</v>
      </c>
      <c r="G9" s="7" t="s">
        <v>16</v>
      </c>
      <c r="H9" s="7" t="s">
        <v>29</v>
      </c>
      <c r="I9" s="7" t="s">
        <v>30</v>
      </c>
      <c r="J9" s="7" t="s">
        <v>30</v>
      </c>
      <c r="K9" s="8" t="s">
        <v>16</v>
      </c>
      <c r="L9" s="19" t="s">
        <v>31</v>
      </c>
      <c r="M9" s="14" t="s">
        <v>32</v>
      </c>
      <c r="N9" s="8" t="s">
        <v>33</v>
      </c>
      <c r="O9" s="8" t="s">
        <v>34</v>
      </c>
      <c r="P9" s="7" t="s">
        <v>34</v>
      </c>
      <c r="Q9" s="8" t="s">
        <v>35</v>
      </c>
      <c r="R9" s="8"/>
      <c r="S9" s="27" t="s">
        <v>12</v>
      </c>
      <c r="T9" s="8" t="s">
        <v>12</v>
      </c>
      <c r="U9" s="8" t="s">
        <v>12</v>
      </c>
      <c r="V9" s="8" t="s">
        <v>12</v>
      </c>
      <c r="W9" s="8" t="s">
        <v>12</v>
      </c>
      <c r="X9" s="19" t="s">
        <v>12</v>
      </c>
      <c r="Y9" s="8" t="s">
        <v>33</v>
      </c>
      <c r="Z9" s="8" t="s">
        <v>36</v>
      </c>
      <c r="AA9" s="14" t="s">
        <v>15</v>
      </c>
      <c r="AB9" s="8"/>
      <c r="AC9" s="36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spans="1:41" ht="13.5">
      <c r="A10" s="8"/>
      <c r="B10" s="8"/>
      <c r="C10" s="8"/>
      <c r="D10" s="8"/>
      <c r="E10" s="7" t="s">
        <v>37</v>
      </c>
      <c r="F10" s="8"/>
      <c r="G10" s="7" t="s">
        <v>29</v>
      </c>
      <c r="H10" s="7" t="s">
        <v>38</v>
      </c>
      <c r="I10" s="8"/>
      <c r="J10" s="8"/>
      <c r="K10" s="8" t="s">
        <v>35</v>
      </c>
      <c r="L10" s="19" t="s">
        <v>16</v>
      </c>
      <c r="M10" s="14" t="s">
        <v>39</v>
      </c>
      <c r="N10" s="8" t="s">
        <v>38</v>
      </c>
      <c r="O10" s="8"/>
      <c r="P10" s="7" t="s">
        <v>16</v>
      </c>
      <c r="Q10" s="7" t="s">
        <v>38</v>
      </c>
      <c r="R10" s="7"/>
      <c r="S10" s="27" t="s">
        <v>30</v>
      </c>
      <c r="T10" s="8" t="s">
        <v>30</v>
      </c>
      <c r="U10" s="8" t="s">
        <v>30</v>
      </c>
      <c r="V10" s="8" t="s">
        <v>30</v>
      </c>
      <c r="W10" s="8" t="s">
        <v>30</v>
      </c>
      <c r="X10" s="19" t="s">
        <v>30</v>
      </c>
      <c r="Y10" s="8" t="s">
        <v>38</v>
      </c>
      <c r="Z10" s="8" t="s">
        <v>33</v>
      </c>
      <c r="AA10" s="14" t="s">
        <v>40</v>
      </c>
      <c r="AB10" s="8"/>
      <c r="AC10" s="36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spans="1:41" ht="13.5">
      <c r="A11" s="7"/>
      <c r="B11" s="8"/>
      <c r="C11" s="8"/>
      <c r="D11" s="8"/>
      <c r="E11" s="7" t="s">
        <v>27</v>
      </c>
      <c r="F11" s="8"/>
      <c r="G11" s="8"/>
      <c r="H11" s="7" t="s">
        <v>12</v>
      </c>
      <c r="I11" s="7"/>
      <c r="J11" s="7"/>
      <c r="K11" s="7" t="s">
        <v>41</v>
      </c>
      <c r="L11" s="19" t="s">
        <v>42</v>
      </c>
      <c r="M11" s="14"/>
      <c r="N11" s="8" t="s">
        <v>43</v>
      </c>
      <c r="O11" s="8"/>
      <c r="P11" s="7" t="s">
        <v>44</v>
      </c>
      <c r="Q11" s="7" t="s">
        <v>12</v>
      </c>
      <c r="R11" s="7"/>
      <c r="S11" s="27"/>
      <c r="T11" s="8"/>
      <c r="U11" s="8"/>
      <c r="V11" s="8"/>
      <c r="W11" s="8"/>
      <c r="X11" s="19"/>
      <c r="Y11" s="8" t="s">
        <v>12</v>
      </c>
      <c r="Z11" s="8"/>
      <c r="AA11" s="14"/>
      <c r="AB11" s="8"/>
      <c r="AC11" s="36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1:41" ht="13.5">
      <c r="A12" s="7"/>
      <c r="B12" s="7"/>
      <c r="C12" s="7"/>
      <c r="D12" s="7"/>
      <c r="E12" s="7"/>
      <c r="F12" s="7"/>
      <c r="G12" s="7"/>
      <c r="H12" s="7" t="s">
        <v>45</v>
      </c>
      <c r="I12" s="7"/>
      <c r="J12" s="7"/>
      <c r="K12" s="7" t="s">
        <v>46</v>
      </c>
      <c r="L12" s="20" t="s">
        <v>47</v>
      </c>
      <c r="M12" s="15"/>
      <c r="N12" s="7"/>
      <c r="O12" s="7"/>
      <c r="P12" s="7" t="s">
        <v>39</v>
      </c>
      <c r="Q12" s="7" t="s">
        <v>48</v>
      </c>
      <c r="R12" s="7"/>
      <c r="S12" s="28"/>
      <c r="T12" s="7"/>
      <c r="U12" s="7"/>
      <c r="V12" s="7"/>
      <c r="W12" s="7"/>
      <c r="X12" s="20"/>
      <c r="Y12" s="7" t="s">
        <v>30</v>
      </c>
      <c r="Z12" s="7"/>
      <c r="AA12" s="15"/>
      <c r="AB12" s="7"/>
      <c r="AC12" s="37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ht="13.5">
      <c r="A13" s="7"/>
      <c r="B13" s="7"/>
      <c r="C13" s="7"/>
      <c r="D13" s="7" t="s">
        <v>49</v>
      </c>
      <c r="E13" s="7" t="s">
        <v>50</v>
      </c>
      <c r="F13" s="7" t="s">
        <v>51</v>
      </c>
      <c r="G13" s="7" t="s">
        <v>52</v>
      </c>
      <c r="H13" s="7" t="s">
        <v>52</v>
      </c>
      <c r="I13" s="7" t="s">
        <v>53</v>
      </c>
      <c r="J13" s="7" t="s">
        <v>54</v>
      </c>
      <c r="K13" s="7"/>
      <c r="L13" s="20" t="s">
        <v>55</v>
      </c>
      <c r="M13" s="15"/>
      <c r="N13" s="7"/>
      <c r="O13" s="7"/>
      <c r="P13" s="7" t="s">
        <v>56</v>
      </c>
      <c r="Q13" s="7"/>
      <c r="R13" s="7"/>
      <c r="S13" s="28" t="s">
        <v>57</v>
      </c>
      <c r="T13" s="7" t="s">
        <v>58</v>
      </c>
      <c r="U13" s="7" t="s">
        <v>59</v>
      </c>
      <c r="V13" s="7" t="s">
        <v>60</v>
      </c>
      <c r="W13" s="7" t="s">
        <v>61</v>
      </c>
      <c r="X13" s="20"/>
      <c r="Y13" s="7"/>
      <c r="Z13" s="7"/>
      <c r="AA13" s="15"/>
      <c r="AB13" s="7"/>
      <c r="AC13" s="37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ht="13.5">
      <c r="A14" s="7"/>
      <c r="B14" s="7"/>
      <c r="C14" s="7" t="s">
        <v>62</v>
      </c>
      <c r="D14" s="7" t="s">
        <v>62</v>
      </c>
      <c r="E14" s="7" t="s">
        <v>62</v>
      </c>
      <c r="F14" s="7" t="s">
        <v>62</v>
      </c>
      <c r="G14" s="7" t="s">
        <v>63</v>
      </c>
      <c r="H14" s="7" t="s">
        <v>63</v>
      </c>
      <c r="I14" s="7" t="s">
        <v>64</v>
      </c>
      <c r="J14" s="7" t="s">
        <v>64</v>
      </c>
      <c r="K14" s="7" t="s">
        <v>65</v>
      </c>
      <c r="L14" s="20" t="s">
        <v>65</v>
      </c>
      <c r="M14" s="15" t="s">
        <v>66</v>
      </c>
      <c r="N14" s="7" t="s">
        <v>67</v>
      </c>
      <c r="O14" s="7"/>
      <c r="P14" s="7" t="s">
        <v>68</v>
      </c>
      <c r="Q14" s="7" t="s">
        <v>69</v>
      </c>
      <c r="R14" s="7"/>
      <c r="S14" s="28" t="s">
        <v>70</v>
      </c>
      <c r="T14" s="7" t="s">
        <v>71</v>
      </c>
      <c r="U14" s="7" t="s">
        <v>71</v>
      </c>
      <c r="V14" s="7" t="s">
        <v>71</v>
      </c>
      <c r="W14" s="7" t="s">
        <v>71</v>
      </c>
      <c r="X14" s="20" t="s">
        <v>70</v>
      </c>
      <c r="Y14" s="7" t="s">
        <v>64</v>
      </c>
      <c r="Z14" s="7" t="s">
        <v>64</v>
      </c>
      <c r="AA14" s="15" t="s">
        <v>64</v>
      </c>
      <c r="AB14" s="7" t="s">
        <v>72</v>
      </c>
      <c r="AC14" s="37" t="s">
        <v>93</v>
      </c>
      <c r="AD14" s="7" t="s">
        <v>73</v>
      </c>
      <c r="AE14" s="7" t="s">
        <v>74</v>
      </c>
      <c r="AF14" s="7" t="s">
        <v>75</v>
      </c>
      <c r="AG14" s="7" t="s">
        <v>74</v>
      </c>
      <c r="AH14" s="7" t="s">
        <v>75</v>
      </c>
      <c r="AI14" s="7" t="s">
        <v>74</v>
      </c>
      <c r="AJ14" s="6" t="s">
        <v>76</v>
      </c>
      <c r="AK14" s="6" t="s">
        <v>74</v>
      </c>
      <c r="AL14" s="8" t="s">
        <v>77</v>
      </c>
      <c r="AM14" s="8" t="s">
        <v>78</v>
      </c>
      <c r="AN14" s="8"/>
      <c r="AO14" s="8"/>
    </row>
    <row r="15" spans="1:41" ht="13.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20"/>
      <c r="M15" s="15"/>
      <c r="N15" s="7"/>
      <c r="O15" s="7"/>
      <c r="P15" s="7"/>
      <c r="Q15" s="7"/>
      <c r="R15" s="7"/>
      <c r="S15" s="28"/>
      <c r="T15" s="7"/>
      <c r="U15" s="7"/>
      <c r="V15" s="7"/>
      <c r="W15" s="7"/>
      <c r="X15" s="20"/>
      <c r="Y15" s="7"/>
      <c r="Z15" s="7"/>
      <c r="AA15" s="15"/>
      <c r="AB15" s="7"/>
      <c r="AC15" s="37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3.5">
      <c r="A16" s="7">
        <v>1</v>
      </c>
      <c r="B16" s="7" t="s">
        <v>88</v>
      </c>
      <c r="C16" s="7">
        <v>20</v>
      </c>
      <c r="D16" s="7">
        <v>35</v>
      </c>
      <c r="E16" s="7">
        <v>26.7</v>
      </c>
      <c r="F16" s="7">
        <f aca="true" t="shared" si="0" ref="F16:F26">SUM(E16-C16)</f>
        <v>6.7</v>
      </c>
      <c r="G16" s="7">
        <v>775</v>
      </c>
      <c r="H16" s="7">
        <v>775</v>
      </c>
      <c r="I16" s="7">
        <v>3.5</v>
      </c>
      <c r="J16" s="7">
        <v>3.2</v>
      </c>
      <c r="K16" s="25">
        <f aca="true" t="shared" si="1" ref="K16:K26">SUM(H16/S16)</f>
        <v>69.2</v>
      </c>
      <c r="L16" s="20">
        <v>65</v>
      </c>
      <c r="M16" s="15">
        <v>20</v>
      </c>
      <c r="N16" s="25">
        <f>SUM(100/M16)</f>
        <v>5</v>
      </c>
      <c r="O16" s="8" t="s">
        <v>79</v>
      </c>
      <c r="P16" s="7">
        <v>0.05</v>
      </c>
      <c r="Q16" s="10">
        <f aca="true" t="shared" si="2" ref="Q16:Q27">SUM(L16*X16)</f>
        <v>728</v>
      </c>
      <c r="R16" s="10">
        <f>H16-Q16</f>
        <v>47</v>
      </c>
      <c r="S16" s="29">
        <f>SUM(I16*J16)</f>
        <v>11.2</v>
      </c>
      <c r="T16" s="7"/>
      <c r="U16" s="7"/>
      <c r="V16" s="7"/>
      <c r="W16" s="7"/>
      <c r="X16" s="30">
        <f>S16</f>
        <v>11.2</v>
      </c>
      <c r="Y16" s="9">
        <f aca="true" t="shared" si="3" ref="Y16:Y26">SUM(N16*S16)</f>
        <v>56</v>
      </c>
      <c r="Z16" s="7">
        <v>30</v>
      </c>
      <c r="AA16" s="16">
        <f aca="true" t="shared" si="4" ref="AA16:AA26">SUM(Y16+Z16)</f>
        <v>86</v>
      </c>
      <c r="AB16" s="3">
        <f aca="true" t="shared" si="5" ref="AB16:AB27">SUM(Q16/$O$6/1.163)</f>
        <v>18</v>
      </c>
      <c r="AC16" s="36">
        <f>AB16/60</f>
        <v>0.3</v>
      </c>
      <c r="AD16" s="3">
        <f>SUM(6.42*10000*0.02*AB16^2*AA16/13^5)</f>
        <v>96</v>
      </c>
      <c r="AE16" s="23">
        <f aca="true" t="shared" si="6" ref="AE16:AE28">SUM(AD16/10)</f>
        <v>10</v>
      </c>
      <c r="AF16" s="4">
        <f aca="true" t="shared" si="7" ref="AF16:AF26">SUM(6.42*10000*0.02*AB16^2*0.003/10^5)</f>
        <v>0.01</v>
      </c>
      <c r="AG16" s="22">
        <f aca="true" t="shared" si="8" ref="AG16:AG27">SUM(AF16*100)</f>
        <v>1</v>
      </c>
      <c r="AH16" s="4">
        <f aca="true" t="shared" si="9" ref="AH16:AH26">SUM(6.42*10000*0.02*AB16^2*0.0044/10^5)</f>
        <v>0.02</v>
      </c>
      <c r="AI16" s="22">
        <f aca="true" t="shared" si="10" ref="AI16:AI27">SUM(AH16*100)</f>
        <v>2</v>
      </c>
      <c r="AJ16" s="26"/>
      <c r="AK16" s="24">
        <f aca="true" t="shared" si="11" ref="AK16:AK26">SUM(AE16+AG16+AI16)</f>
        <v>13</v>
      </c>
      <c r="AL16" s="5">
        <v>0.1327</v>
      </c>
      <c r="AM16" s="4">
        <f aca="true" t="shared" si="12" ref="AM16:AM26">SUM(AA16*AL16)</f>
        <v>11.41</v>
      </c>
      <c r="AN16" s="8"/>
      <c r="AO16" s="8"/>
    </row>
    <row r="17" spans="1:41" ht="13.5">
      <c r="A17" s="7">
        <v>2</v>
      </c>
      <c r="B17" s="7" t="s">
        <v>80</v>
      </c>
      <c r="C17" s="7">
        <v>20</v>
      </c>
      <c r="D17" s="7">
        <v>35</v>
      </c>
      <c r="E17" s="7">
        <v>29</v>
      </c>
      <c r="F17" s="7">
        <f t="shared" si="0"/>
        <v>9</v>
      </c>
      <c r="G17" s="7">
        <v>618</v>
      </c>
      <c r="H17" s="7">
        <v>540</v>
      </c>
      <c r="I17" s="7">
        <v>2</v>
      </c>
      <c r="J17" s="7">
        <v>2</v>
      </c>
      <c r="K17" s="25">
        <f t="shared" si="1"/>
        <v>135</v>
      </c>
      <c r="L17" s="20">
        <v>86</v>
      </c>
      <c r="M17" s="15">
        <v>10</v>
      </c>
      <c r="N17" s="25">
        <f aca="true" t="shared" si="13" ref="N17:N27">SUM(100/M17)</f>
        <v>10</v>
      </c>
      <c r="O17" s="8" t="s">
        <v>79</v>
      </c>
      <c r="P17" s="7">
        <v>0.05</v>
      </c>
      <c r="Q17" s="10">
        <f t="shared" si="2"/>
        <v>344</v>
      </c>
      <c r="R17" s="10">
        <f aca="true" t="shared" si="14" ref="R17:R27">H17-Q17</f>
        <v>196</v>
      </c>
      <c r="S17" s="29">
        <f aca="true" t="shared" si="15" ref="S17:S26">SUM(I17*J17)</f>
        <v>4</v>
      </c>
      <c r="T17" s="7"/>
      <c r="U17" s="7"/>
      <c r="V17" s="7"/>
      <c r="W17" s="7"/>
      <c r="X17" s="30">
        <f>S17</f>
        <v>4</v>
      </c>
      <c r="Y17" s="9">
        <f t="shared" si="3"/>
        <v>40</v>
      </c>
      <c r="Z17" s="7">
        <v>30</v>
      </c>
      <c r="AA17" s="16">
        <f t="shared" si="4"/>
        <v>70</v>
      </c>
      <c r="AB17" s="3">
        <f t="shared" si="5"/>
        <v>8</v>
      </c>
      <c r="AC17" s="36">
        <f aca="true" t="shared" si="16" ref="AC17:AC28">AB17/60</f>
        <v>0.13</v>
      </c>
      <c r="AD17" s="3">
        <f aca="true" t="shared" si="17" ref="AD17:AD26">SUM(6.42*10000*0.02*AB17^2*AA17/13^5)</f>
        <v>15</v>
      </c>
      <c r="AE17" s="23">
        <f t="shared" si="6"/>
        <v>2</v>
      </c>
      <c r="AF17" s="4">
        <f t="shared" si="7"/>
        <v>0</v>
      </c>
      <c r="AG17" s="22">
        <f t="shared" si="8"/>
        <v>0</v>
      </c>
      <c r="AH17" s="4">
        <f t="shared" si="9"/>
        <v>0</v>
      </c>
      <c r="AI17" s="22">
        <f t="shared" si="10"/>
        <v>0</v>
      </c>
      <c r="AJ17" s="7"/>
      <c r="AK17" s="24">
        <f t="shared" si="11"/>
        <v>2</v>
      </c>
      <c r="AL17" s="5">
        <v>0.1327</v>
      </c>
      <c r="AM17" s="4">
        <f t="shared" si="12"/>
        <v>9.29</v>
      </c>
      <c r="AN17" s="8"/>
      <c r="AO17" s="8"/>
    </row>
    <row r="18" spans="1:41" ht="13.5">
      <c r="A18" s="7">
        <v>2</v>
      </c>
      <c r="B18" s="7" t="s">
        <v>91</v>
      </c>
      <c r="C18" s="7">
        <v>20</v>
      </c>
      <c r="D18" s="7">
        <v>35</v>
      </c>
      <c r="E18" s="7">
        <v>27.7</v>
      </c>
      <c r="F18" s="7">
        <f>SUM(E18-C18)</f>
        <v>7.7</v>
      </c>
      <c r="G18" s="7"/>
      <c r="H18" s="7">
        <v>80</v>
      </c>
      <c r="I18" s="9">
        <v>2</v>
      </c>
      <c r="J18" s="9">
        <v>1.9</v>
      </c>
      <c r="K18" s="25">
        <f t="shared" si="1"/>
        <v>21.05</v>
      </c>
      <c r="L18" s="20">
        <v>86</v>
      </c>
      <c r="M18" s="15">
        <v>15</v>
      </c>
      <c r="N18" s="25">
        <f t="shared" si="13"/>
        <v>6.67</v>
      </c>
      <c r="O18" s="8" t="s">
        <v>81</v>
      </c>
      <c r="P18" s="7">
        <v>0.1</v>
      </c>
      <c r="Q18" s="10">
        <f t="shared" si="2"/>
        <v>327</v>
      </c>
      <c r="R18" s="10">
        <f t="shared" si="14"/>
        <v>-247</v>
      </c>
      <c r="S18" s="29">
        <f>SUM(I18*J18)</f>
        <v>3.8</v>
      </c>
      <c r="T18" s="7"/>
      <c r="U18" s="7"/>
      <c r="V18" s="7"/>
      <c r="W18" s="7"/>
      <c r="X18" s="30">
        <f>S18</f>
        <v>3.8</v>
      </c>
      <c r="Y18" s="9">
        <f t="shared" si="3"/>
        <v>25.35</v>
      </c>
      <c r="Z18" s="7">
        <v>37</v>
      </c>
      <c r="AA18" s="16">
        <f>SUM(Y18+Z18)</f>
        <v>62.35</v>
      </c>
      <c r="AB18" s="3">
        <f t="shared" si="5"/>
        <v>8</v>
      </c>
      <c r="AC18" s="36">
        <f t="shared" si="16"/>
        <v>0.13</v>
      </c>
      <c r="AD18" s="3">
        <f>SUM(6.42*10000*0.02*AB18^2*AA18/13^5)</f>
        <v>14</v>
      </c>
      <c r="AE18" s="23">
        <f t="shared" si="6"/>
        <v>1</v>
      </c>
      <c r="AF18" s="4">
        <f>SUM(6.42*10000*0.02*AB18^2*0.003/10^5)</f>
        <v>0</v>
      </c>
      <c r="AG18" s="22">
        <f t="shared" si="8"/>
        <v>0</v>
      </c>
      <c r="AH18" s="4">
        <f>SUM(6.42*10000*0.02*AB18^2*0.0044/10^5)</f>
        <v>0</v>
      </c>
      <c r="AI18" s="22">
        <f t="shared" si="10"/>
        <v>0</v>
      </c>
      <c r="AJ18" s="7"/>
      <c r="AK18" s="24">
        <f>SUM(AE18+AG18+AI18)</f>
        <v>1</v>
      </c>
      <c r="AL18" s="5">
        <v>0.1327</v>
      </c>
      <c r="AM18" s="4">
        <f>SUM(AA18*AL18)</f>
        <v>8.27</v>
      </c>
      <c r="AN18" s="8"/>
      <c r="AO18" s="8"/>
    </row>
    <row r="19" spans="1:41" ht="13.5">
      <c r="A19" s="7">
        <v>3</v>
      </c>
      <c r="B19" s="7" t="s">
        <v>82</v>
      </c>
      <c r="C19" s="7">
        <v>20</v>
      </c>
      <c r="D19" s="7">
        <v>35</v>
      </c>
      <c r="E19" s="7">
        <v>27.4</v>
      </c>
      <c r="F19" s="7">
        <f t="shared" si="0"/>
        <v>7.4</v>
      </c>
      <c r="G19" s="7">
        <v>673</v>
      </c>
      <c r="H19" s="7">
        <v>673</v>
      </c>
      <c r="I19" s="7">
        <v>2.1</v>
      </c>
      <c r="J19" s="7">
        <v>2.4</v>
      </c>
      <c r="K19" s="25">
        <f t="shared" si="1"/>
        <v>133.53</v>
      </c>
      <c r="L19" s="20">
        <v>65</v>
      </c>
      <c r="M19" s="15">
        <v>20</v>
      </c>
      <c r="N19" s="25">
        <f t="shared" si="13"/>
        <v>5</v>
      </c>
      <c r="O19" s="8" t="s">
        <v>79</v>
      </c>
      <c r="P19" s="7">
        <v>0.05</v>
      </c>
      <c r="Q19" s="10">
        <f t="shared" si="2"/>
        <v>328</v>
      </c>
      <c r="R19" s="10">
        <f t="shared" si="14"/>
        <v>345</v>
      </c>
      <c r="S19" s="29">
        <f t="shared" si="15"/>
        <v>5.04</v>
      </c>
      <c r="T19" s="7"/>
      <c r="U19" s="7"/>
      <c r="V19" s="7"/>
      <c r="W19" s="7"/>
      <c r="X19" s="30">
        <f aca="true" t="shared" si="18" ref="X19:X26">S19</f>
        <v>5.04</v>
      </c>
      <c r="Y19" s="9">
        <f t="shared" si="3"/>
        <v>25.2</v>
      </c>
      <c r="Z19" s="7">
        <v>19</v>
      </c>
      <c r="AA19" s="16">
        <f t="shared" si="4"/>
        <v>44.2</v>
      </c>
      <c r="AB19" s="3">
        <f t="shared" si="5"/>
        <v>8</v>
      </c>
      <c r="AC19" s="36">
        <f t="shared" si="16"/>
        <v>0.13</v>
      </c>
      <c r="AD19" s="3">
        <f t="shared" si="17"/>
        <v>10</v>
      </c>
      <c r="AE19" s="23">
        <f t="shared" si="6"/>
        <v>1</v>
      </c>
      <c r="AF19" s="4">
        <f t="shared" si="7"/>
        <v>0</v>
      </c>
      <c r="AG19" s="22">
        <f t="shared" si="8"/>
        <v>0</v>
      </c>
      <c r="AH19" s="4">
        <f t="shared" si="9"/>
        <v>0</v>
      </c>
      <c r="AI19" s="22">
        <f t="shared" si="10"/>
        <v>0</v>
      </c>
      <c r="AJ19" s="7"/>
      <c r="AK19" s="24">
        <f t="shared" si="11"/>
        <v>1</v>
      </c>
      <c r="AL19" s="5">
        <v>0.1327</v>
      </c>
      <c r="AM19" s="4">
        <f t="shared" si="12"/>
        <v>5.87</v>
      </c>
      <c r="AN19" s="8"/>
      <c r="AO19" s="8"/>
    </row>
    <row r="20" spans="1:41" ht="13.5">
      <c r="A20" s="7">
        <v>4</v>
      </c>
      <c r="B20" s="7" t="s">
        <v>83</v>
      </c>
      <c r="C20" s="7">
        <v>20</v>
      </c>
      <c r="D20" s="7">
        <v>35</v>
      </c>
      <c r="E20" s="7">
        <v>25.9</v>
      </c>
      <c r="F20" s="7">
        <f t="shared" si="0"/>
        <v>5.9</v>
      </c>
      <c r="G20" s="7">
        <v>1860</v>
      </c>
      <c r="H20" s="7">
        <v>680</v>
      </c>
      <c r="I20" s="7">
        <v>3.2</v>
      </c>
      <c r="J20" s="7">
        <v>2.35</v>
      </c>
      <c r="K20" s="25">
        <f t="shared" si="1"/>
        <v>90.43</v>
      </c>
      <c r="L20" s="20">
        <v>65</v>
      </c>
      <c r="M20" s="15">
        <v>20</v>
      </c>
      <c r="N20" s="25">
        <f t="shared" si="13"/>
        <v>5</v>
      </c>
      <c r="O20" s="8" t="s">
        <v>79</v>
      </c>
      <c r="P20" s="7">
        <v>0.05</v>
      </c>
      <c r="Q20" s="10">
        <f t="shared" si="2"/>
        <v>489</v>
      </c>
      <c r="R20" s="10">
        <f t="shared" si="14"/>
        <v>191</v>
      </c>
      <c r="S20" s="29">
        <f t="shared" si="15"/>
        <v>7.52</v>
      </c>
      <c r="T20" s="7">
        <v>15.01</v>
      </c>
      <c r="U20" s="7"/>
      <c r="V20" s="7"/>
      <c r="W20" s="7"/>
      <c r="X20" s="30">
        <f t="shared" si="18"/>
        <v>7.52</v>
      </c>
      <c r="Y20" s="9">
        <f t="shared" si="3"/>
        <v>37.6</v>
      </c>
      <c r="Z20" s="7">
        <v>22</v>
      </c>
      <c r="AA20" s="16">
        <f t="shared" si="4"/>
        <v>59.6</v>
      </c>
      <c r="AB20" s="3">
        <f t="shared" si="5"/>
        <v>12</v>
      </c>
      <c r="AC20" s="36">
        <f t="shared" si="16"/>
        <v>0.2</v>
      </c>
      <c r="AD20" s="3">
        <f t="shared" si="17"/>
        <v>30</v>
      </c>
      <c r="AE20" s="23">
        <f t="shared" si="6"/>
        <v>3</v>
      </c>
      <c r="AF20" s="4">
        <f t="shared" si="7"/>
        <v>0.01</v>
      </c>
      <c r="AG20" s="22">
        <f t="shared" si="8"/>
        <v>1</v>
      </c>
      <c r="AH20" s="4">
        <f t="shared" si="9"/>
        <v>0.01</v>
      </c>
      <c r="AI20" s="22">
        <f t="shared" si="10"/>
        <v>1</v>
      </c>
      <c r="AJ20" s="7"/>
      <c r="AK20" s="24">
        <f t="shared" si="11"/>
        <v>5</v>
      </c>
      <c r="AL20" s="5">
        <v>0.1327</v>
      </c>
      <c r="AM20" s="4">
        <f t="shared" si="12"/>
        <v>7.91</v>
      </c>
      <c r="AN20" s="8"/>
      <c r="AO20" s="8"/>
    </row>
    <row r="21" spans="1:41" ht="13.5">
      <c r="A21" s="7">
        <v>4</v>
      </c>
      <c r="B21" s="7" t="s">
        <v>84</v>
      </c>
      <c r="C21" s="7">
        <v>20</v>
      </c>
      <c r="D21" s="7">
        <v>35</v>
      </c>
      <c r="E21" s="7">
        <v>25.9</v>
      </c>
      <c r="F21" s="7">
        <f t="shared" si="0"/>
        <v>5.9</v>
      </c>
      <c r="G21" s="7"/>
      <c r="H21" s="7">
        <v>680</v>
      </c>
      <c r="I21" s="7">
        <v>3.2</v>
      </c>
      <c r="J21" s="7">
        <v>2.35</v>
      </c>
      <c r="K21" s="25">
        <f t="shared" si="1"/>
        <v>90.43</v>
      </c>
      <c r="L21" s="20">
        <v>65</v>
      </c>
      <c r="M21" s="15">
        <v>20</v>
      </c>
      <c r="N21" s="25">
        <f t="shared" si="13"/>
        <v>5</v>
      </c>
      <c r="O21" s="8" t="s">
        <v>79</v>
      </c>
      <c r="P21" s="7">
        <v>0.05</v>
      </c>
      <c r="Q21" s="10">
        <f t="shared" si="2"/>
        <v>489</v>
      </c>
      <c r="R21" s="10">
        <f t="shared" si="14"/>
        <v>191</v>
      </c>
      <c r="S21" s="29">
        <f t="shared" si="15"/>
        <v>7.52</v>
      </c>
      <c r="T21" s="7">
        <v>15.01</v>
      </c>
      <c r="U21" s="7"/>
      <c r="V21" s="7"/>
      <c r="W21" s="7"/>
      <c r="X21" s="30">
        <f t="shared" si="18"/>
        <v>7.52</v>
      </c>
      <c r="Y21" s="9">
        <f t="shared" si="3"/>
        <v>37.6</v>
      </c>
      <c r="Z21" s="7">
        <v>22</v>
      </c>
      <c r="AA21" s="16">
        <f t="shared" si="4"/>
        <v>59.6</v>
      </c>
      <c r="AB21" s="3">
        <f t="shared" si="5"/>
        <v>12</v>
      </c>
      <c r="AC21" s="36">
        <f t="shared" si="16"/>
        <v>0.2</v>
      </c>
      <c r="AD21" s="3">
        <f t="shared" si="17"/>
        <v>30</v>
      </c>
      <c r="AE21" s="23">
        <f t="shared" si="6"/>
        <v>3</v>
      </c>
      <c r="AF21" s="4">
        <f t="shared" si="7"/>
        <v>0.01</v>
      </c>
      <c r="AG21" s="22">
        <f t="shared" si="8"/>
        <v>1</v>
      </c>
      <c r="AH21" s="4">
        <f t="shared" si="9"/>
        <v>0.01</v>
      </c>
      <c r="AI21" s="22">
        <f t="shared" si="10"/>
        <v>1</v>
      </c>
      <c r="AJ21" s="7"/>
      <c r="AK21" s="24">
        <f t="shared" si="11"/>
        <v>5</v>
      </c>
      <c r="AL21" s="5">
        <v>0.1327</v>
      </c>
      <c r="AM21" s="4">
        <f t="shared" si="12"/>
        <v>7.91</v>
      </c>
      <c r="AN21" s="8"/>
      <c r="AO21" s="8"/>
    </row>
    <row r="22" spans="1:41" ht="13.5">
      <c r="A22" s="7">
        <v>5</v>
      </c>
      <c r="B22" s="7" t="s">
        <v>85</v>
      </c>
      <c r="C22" s="7">
        <v>20</v>
      </c>
      <c r="D22" s="7">
        <v>35</v>
      </c>
      <c r="E22" s="7">
        <v>29</v>
      </c>
      <c r="F22" s="7">
        <f>SUM(E22-C22)</f>
        <v>9</v>
      </c>
      <c r="G22" s="7"/>
      <c r="H22" s="7">
        <v>500</v>
      </c>
      <c r="I22" s="7">
        <v>1</v>
      </c>
      <c r="J22" s="7">
        <v>6.4</v>
      </c>
      <c r="K22" s="25">
        <f t="shared" si="1"/>
        <v>78.13</v>
      </c>
      <c r="L22" s="20">
        <v>86</v>
      </c>
      <c r="M22" s="15">
        <v>10</v>
      </c>
      <c r="N22" s="25">
        <f t="shared" si="13"/>
        <v>10</v>
      </c>
      <c r="O22" s="8" t="s">
        <v>79</v>
      </c>
      <c r="P22" s="7">
        <v>0.05</v>
      </c>
      <c r="Q22" s="10">
        <f t="shared" si="2"/>
        <v>550</v>
      </c>
      <c r="R22" s="10">
        <f t="shared" si="14"/>
        <v>-50</v>
      </c>
      <c r="S22" s="29">
        <f>SUM(I22*J22)</f>
        <v>6.4</v>
      </c>
      <c r="T22" s="7">
        <v>16.01</v>
      </c>
      <c r="U22" s="7"/>
      <c r="V22" s="7"/>
      <c r="W22" s="7"/>
      <c r="X22" s="30">
        <f>S22</f>
        <v>6.4</v>
      </c>
      <c r="Y22" s="9">
        <f t="shared" si="3"/>
        <v>64</v>
      </c>
      <c r="Z22" s="7">
        <v>23</v>
      </c>
      <c r="AA22" s="16">
        <f>SUM(Y22+Z22)</f>
        <v>87</v>
      </c>
      <c r="AB22" s="3">
        <f t="shared" si="5"/>
        <v>14</v>
      </c>
      <c r="AC22" s="36">
        <f t="shared" si="16"/>
        <v>0.23</v>
      </c>
      <c r="AD22" s="3">
        <f>SUM(6.42*10000*0.02*AB22^2*AA22/13^5)</f>
        <v>59</v>
      </c>
      <c r="AE22" s="23">
        <f t="shared" si="6"/>
        <v>6</v>
      </c>
      <c r="AF22" s="4">
        <f>SUM(6.42*10000*0.02*AB22^2*0.003/10^5)</f>
        <v>0.01</v>
      </c>
      <c r="AG22" s="22">
        <f t="shared" si="8"/>
        <v>1</v>
      </c>
      <c r="AH22" s="4">
        <f>SUM(6.42*10000*0.02*AB22^2*0.0044/10^5)</f>
        <v>0.01</v>
      </c>
      <c r="AI22" s="22">
        <f t="shared" si="10"/>
        <v>1</v>
      </c>
      <c r="AJ22" s="7"/>
      <c r="AK22" s="24">
        <f>SUM(AE22+AG22+AI22)</f>
        <v>8</v>
      </c>
      <c r="AL22" s="5">
        <v>0.1327</v>
      </c>
      <c r="AM22" s="4">
        <f>SUM(AA22*AL22)</f>
        <v>11.54</v>
      </c>
      <c r="AN22" s="8"/>
      <c r="AO22" s="8"/>
    </row>
    <row r="23" spans="1:41" ht="13.5">
      <c r="A23" s="7">
        <v>5</v>
      </c>
      <c r="B23" s="7" t="s">
        <v>89</v>
      </c>
      <c r="C23" s="7">
        <v>20</v>
      </c>
      <c r="D23" s="7">
        <v>35</v>
      </c>
      <c r="E23" s="7">
        <v>27.4</v>
      </c>
      <c r="F23" s="7">
        <f t="shared" si="0"/>
        <v>7.4</v>
      </c>
      <c r="G23" s="7">
        <v>1521</v>
      </c>
      <c r="H23" s="7">
        <v>760</v>
      </c>
      <c r="I23" s="7">
        <v>2</v>
      </c>
      <c r="J23" s="7">
        <v>4.5</v>
      </c>
      <c r="K23" s="25">
        <f t="shared" si="1"/>
        <v>84.44</v>
      </c>
      <c r="L23" s="20">
        <v>65</v>
      </c>
      <c r="M23" s="15">
        <v>20</v>
      </c>
      <c r="N23" s="25">
        <f t="shared" si="13"/>
        <v>5</v>
      </c>
      <c r="O23" s="8" t="s">
        <v>79</v>
      </c>
      <c r="P23" s="7">
        <v>0.05</v>
      </c>
      <c r="Q23" s="10">
        <f t="shared" si="2"/>
        <v>585</v>
      </c>
      <c r="R23" s="10">
        <f t="shared" si="14"/>
        <v>175</v>
      </c>
      <c r="S23" s="29">
        <f t="shared" si="15"/>
        <v>9</v>
      </c>
      <c r="T23" s="7"/>
      <c r="U23" s="7"/>
      <c r="V23" s="7"/>
      <c r="W23" s="7"/>
      <c r="X23" s="30">
        <f t="shared" si="18"/>
        <v>9</v>
      </c>
      <c r="Y23" s="9">
        <f t="shared" si="3"/>
        <v>45</v>
      </c>
      <c r="Z23" s="7">
        <v>16</v>
      </c>
      <c r="AA23" s="16">
        <f t="shared" si="4"/>
        <v>61</v>
      </c>
      <c r="AB23" s="3">
        <f t="shared" si="5"/>
        <v>14</v>
      </c>
      <c r="AC23" s="36">
        <f t="shared" si="16"/>
        <v>0.23</v>
      </c>
      <c r="AD23" s="3">
        <f t="shared" si="17"/>
        <v>41</v>
      </c>
      <c r="AE23" s="23">
        <f t="shared" si="6"/>
        <v>4</v>
      </c>
      <c r="AF23" s="4">
        <f t="shared" si="7"/>
        <v>0.01</v>
      </c>
      <c r="AG23" s="22">
        <f t="shared" si="8"/>
        <v>1</v>
      </c>
      <c r="AH23" s="4">
        <f t="shared" si="9"/>
        <v>0.01</v>
      </c>
      <c r="AI23" s="22">
        <f t="shared" si="10"/>
        <v>1</v>
      </c>
      <c r="AJ23" s="7"/>
      <c r="AK23" s="24">
        <f t="shared" si="11"/>
        <v>6</v>
      </c>
      <c r="AL23" s="5">
        <v>0.1327</v>
      </c>
      <c r="AM23" s="4">
        <f t="shared" si="12"/>
        <v>8.09</v>
      </c>
      <c r="AN23" s="8"/>
      <c r="AO23" s="8"/>
    </row>
    <row r="24" spans="1:41" ht="13.5">
      <c r="A24" s="7">
        <v>6</v>
      </c>
      <c r="B24" s="7" t="s">
        <v>90</v>
      </c>
      <c r="C24" s="7">
        <v>20</v>
      </c>
      <c r="D24" s="7">
        <v>35</v>
      </c>
      <c r="E24" s="7">
        <v>28.4</v>
      </c>
      <c r="F24" s="7">
        <f>SUM(E24-C24)</f>
        <v>8.4</v>
      </c>
      <c r="G24" s="7"/>
      <c r="H24" s="7">
        <v>760</v>
      </c>
      <c r="I24" s="7">
        <v>2</v>
      </c>
      <c r="J24" s="7">
        <v>4.5</v>
      </c>
      <c r="K24" s="25">
        <f>SUM(H24/S24)</f>
        <v>84.44</v>
      </c>
      <c r="L24" s="20">
        <v>65</v>
      </c>
      <c r="M24" s="15">
        <v>20</v>
      </c>
      <c r="N24" s="25">
        <f t="shared" si="13"/>
        <v>5</v>
      </c>
      <c r="O24" s="8" t="s">
        <v>79</v>
      </c>
      <c r="P24" s="7">
        <v>0.05</v>
      </c>
      <c r="Q24" s="10">
        <f t="shared" si="2"/>
        <v>585</v>
      </c>
      <c r="R24" s="10">
        <f t="shared" si="14"/>
        <v>175</v>
      </c>
      <c r="S24" s="29">
        <f>SUM(I24*J24)</f>
        <v>9</v>
      </c>
      <c r="T24" s="7"/>
      <c r="U24" s="7"/>
      <c r="V24" s="7"/>
      <c r="W24" s="7"/>
      <c r="X24" s="30">
        <f>S24</f>
        <v>9</v>
      </c>
      <c r="Y24" s="9">
        <f>SUM(N24*S24)</f>
        <v>45</v>
      </c>
      <c r="Z24" s="7">
        <v>17</v>
      </c>
      <c r="AA24" s="16">
        <f>SUM(Y24+Z24)</f>
        <v>62</v>
      </c>
      <c r="AB24" s="3">
        <f t="shared" si="5"/>
        <v>14</v>
      </c>
      <c r="AC24" s="36">
        <f t="shared" si="16"/>
        <v>0.23</v>
      </c>
      <c r="AD24" s="3">
        <f>SUM(6.42*10000*0.02*AB24^2*AA24/13^5)</f>
        <v>42</v>
      </c>
      <c r="AE24" s="23">
        <f t="shared" si="6"/>
        <v>4</v>
      </c>
      <c r="AF24" s="4">
        <f>SUM(6.42*10000*0.02*AB24^2*0.003/10^5)</f>
        <v>0.01</v>
      </c>
      <c r="AG24" s="22">
        <f t="shared" si="8"/>
        <v>1</v>
      </c>
      <c r="AH24" s="4">
        <f>SUM(6.42*10000*0.02*AB24^2*0.0044/10^5)</f>
        <v>0.01</v>
      </c>
      <c r="AI24" s="22">
        <f t="shared" si="10"/>
        <v>1</v>
      </c>
      <c r="AJ24" s="7"/>
      <c r="AK24" s="24">
        <f>SUM(AE24+AG24+AI24)</f>
        <v>6</v>
      </c>
      <c r="AL24" s="5">
        <v>0.1327</v>
      </c>
      <c r="AM24" s="4">
        <f>SUM(AA24*AL24)</f>
        <v>8.23</v>
      </c>
      <c r="AN24" s="8"/>
      <c r="AO24" s="8"/>
    </row>
    <row r="25" spans="1:41" ht="13.5">
      <c r="A25" s="7">
        <v>6</v>
      </c>
      <c r="B25" s="7" t="s">
        <v>86</v>
      </c>
      <c r="C25" s="7">
        <v>20</v>
      </c>
      <c r="D25" s="7">
        <v>35</v>
      </c>
      <c r="E25" s="7">
        <v>25.8</v>
      </c>
      <c r="F25" s="7">
        <f t="shared" si="0"/>
        <v>5.8</v>
      </c>
      <c r="G25" s="7">
        <v>258</v>
      </c>
      <c r="H25" s="7">
        <v>258</v>
      </c>
      <c r="I25" s="7">
        <v>2.57</v>
      </c>
      <c r="J25" s="7">
        <v>2.05</v>
      </c>
      <c r="K25" s="25">
        <f t="shared" si="1"/>
        <v>48.96</v>
      </c>
      <c r="L25" s="20">
        <v>75</v>
      </c>
      <c r="M25" s="15">
        <v>15</v>
      </c>
      <c r="N25" s="25">
        <f t="shared" si="13"/>
        <v>6.67</v>
      </c>
      <c r="O25" s="8" t="s">
        <v>79</v>
      </c>
      <c r="P25" s="7">
        <v>0.05</v>
      </c>
      <c r="Q25" s="10">
        <f t="shared" si="2"/>
        <v>395</v>
      </c>
      <c r="R25" s="10">
        <f t="shared" si="14"/>
        <v>-137</v>
      </c>
      <c r="S25" s="29">
        <f t="shared" si="15"/>
        <v>5.27</v>
      </c>
      <c r="T25" s="7"/>
      <c r="U25" s="7"/>
      <c r="V25" s="7"/>
      <c r="W25" s="7"/>
      <c r="X25" s="30">
        <f t="shared" si="18"/>
        <v>5.27</v>
      </c>
      <c r="Y25" s="9">
        <f t="shared" si="3"/>
        <v>35.15</v>
      </c>
      <c r="Z25" s="7">
        <v>2</v>
      </c>
      <c r="AA25" s="16">
        <f t="shared" si="4"/>
        <v>37.15</v>
      </c>
      <c r="AB25" s="3">
        <f t="shared" si="5"/>
        <v>10</v>
      </c>
      <c r="AC25" s="36">
        <f t="shared" si="16"/>
        <v>0.17</v>
      </c>
      <c r="AD25" s="3">
        <f t="shared" si="17"/>
        <v>13</v>
      </c>
      <c r="AE25" s="23">
        <f t="shared" si="6"/>
        <v>1</v>
      </c>
      <c r="AF25" s="4">
        <f t="shared" si="7"/>
        <v>0</v>
      </c>
      <c r="AG25" s="22">
        <f t="shared" si="8"/>
        <v>0</v>
      </c>
      <c r="AH25" s="4">
        <f t="shared" si="9"/>
        <v>0.01</v>
      </c>
      <c r="AI25" s="22">
        <f t="shared" si="10"/>
        <v>1</v>
      </c>
      <c r="AJ25" s="7"/>
      <c r="AK25" s="24">
        <f t="shared" si="11"/>
        <v>2</v>
      </c>
      <c r="AL25" s="5">
        <v>0.1327</v>
      </c>
      <c r="AM25" s="4">
        <f t="shared" si="12"/>
        <v>4.93</v>
      </c>
      <c r="AN25" s="8"/>
      <c r="AO25" s="8"/>
    </row>
    <row r="26" spans="1:41" ht="13.5">
      <c r="A26" s="7">
        <v>7</v>
      </c>
      <c r="B26" s="7" t="s">
        <v>87</v>
      </c>
      <c r="C26" s="7">
        <v>20</v>
      </c>
      <c r="D26" s="7">
        <v>35</v>
      </c>
      <c r="E26" s="7">
        <v>27.3</v>
      </c>
      <c r="F26" s="7">
        <f t="shared" si="0"/>
        <v>7.3</v>
      </c>
      <c r="G26" s="7">
        <v>678</v>
      </c>
      <c r="H26" s="7">
        <v>678</v>
      </c>
      <c r="I26" s="7">
        <v>2.25</v>
      </c>
      <c r="J26" s="7">
        <v>2.57</v>
      </c>
      <c r="K26" s="25">
        <f t="shared" si="1"/>
        <v>117.3</v>
      </c>
      <c r="L26" s="20">
        <v>75</v>
      </c>
      <c r="M26" s="15">
        <v>15</v>
      </c>
      <c r="N26" s="25">
        <f t="shared" si="13"/>
        <v>6.67</v>
      </c>
      <c r="O26" s="8" t="s">
        <v>79</v>
      </c>
      <c r="P26" s="7">
        <v>0.05</v>
      </c>
      <c r="Q26" s="10">
        <f t="shared" si="2"/>
        <v>434</v>
      </c>
      <c r="R26" s="10">
        <f t="shared" si="14"/>
        <v>244</v>
      </c>
      <c r="S26" s="29">
        <f t="shared" si="15"/>
        <v>5.78</v>
      </c>
      <c r="T26" s="7"/>
      <c r="U26" s="7"/>
      <c r="V26" s="7"/>
      <c r="W26" s="7"/>
      <c r="X26" s="30">
        <f t="shared" si="18"/>
        <v>5.78</v>
      </c>
      <c r="Y26" s="9">
        <f t="shared" si="3"/>
        <v>38.55</v>
      </c>
      <c r="Z26" s="7">
        <v>2</v>
      </c>
      <c r="AA26" s="16">
        <f t="shared" si="4"/>
        <v>40.55</v>
      </c>
      <c r="AB26" s="3">
        <f t="shared" si="5"/>
        <v>11</v>
      </c>
      <c r="AC26" s="36">
        <f t="shared" si="16"/>
        <v>0.18</v>
      </c>
      <c r="AD26" s="3">
        <f t="shared" si="17"/>
        <v>17</v>
      </c>
      <c r="AE26" s="23">
        <f t="shared" si="6"/>
        <v>2</v>
      </c>
      <c r="AF26" s="4">
        <f t="shared" si="7"/>
        <v>0</v>
      </c>
      <c r="AG26" s="22">
        <f t="shared" si="8"/>
        <v>0</v>
      </c>
      <c r="AH26" s="4">
        <f t="shared" si="9"/>
        <v>0.01</v>
      </c>
      <c r="AI26" s="22">
        <f t="shared" si="10"/>
        <v>1</v>
      </c>
      <c r="AJ26" s="7"/>
      <c r="AK26" s="24">
        <f t="shared" si="11"/>
        <v>3</v>
      </c>
      <c r="AL26" s="5">
        <v>0.1327</v>
      </c>
      <c r="AM26" s="4">
        <f t="shared" si="12"/>
        <v>5.38</v>
      </c>
      <c r="AN26" s="8"/>
      <c r="AO26" s="8"/>
    </row>
    <row r="27" spans="1:41" ht="13.5">
      <c r="A27" s="7">
        <v>8</v>
      </c>
      <c r="B27" s="7" t="s">
        <v>92</v>
      </c>
      <c r="C27" s="7">
        <v>20</v>
      </c>
      <c r="D27" s="7">
        <v>35</v>
      </c>
      <c r="E27" s="7">
        <v>28.3</v>
      </c>
      <c r="F27" s="7">
        <f>SUM(E27-C27)</f>
        <v>8.3</v>
      </c>
      <c r="G27" s="7">
        <v>250</v>
      </c>
      <c r="H27" s="7">
        <v>250</v>
      </c>
      <c r="I27" s="7">
        <v>1</v>
      </c>
      <c r="J27" s="7">
        <v>3</v>
      </c>
      <c r="K27" s="25">
        <f>SUM(H27/S27)</f>
        <v>83.33</v>
      </c>
      <c r="L27" s="20">
        <v>86</v>
      </c>
      <c r="M27" s="15">
        <v>10</v>
      </c>
      <c r="N27" s="25">
        <f t="shared" si="13"/>
        <v>10</v>
      </c>
      <c r="O27" s="8" t="s">
        <v>79</v>
      </c>
      <c r="P27" s="7">
        <v>0.05</v>
      </c>
      <c r="Q27" s="10">
        <f t="shared" si="2"/>
        <v>258</v>
      </c>
      <c r="R27" s="10">
        <f t="shared" si="14"/>
        <v>-8</v>
      </c>
      <c r="S27" s="29">
        <f>SUM(I27*J27)</f>
        <v>3</v>
      </c>
      <c r="T27" s="7"/>
      <c r="U27" s="7"/>
      <c r="V27" s="7"/>
      <c r="W27" s="7"/>
      <c r="X27" s="30">
        <f>S27</f>
        <v>3</v>
      </c>
      <c r="Y27" s="9">
        <f>SUM(N27*S27)</f>
        <v>30</v>
      </c>
      <c r="Z27" s="7">
        <v>2</v>
      </c>
      <c r="AA27" s="16">
        <f>SUM(Y27+Z27)</f>
        <v>32</v>
      </c>
      <c r="AB27" s="3">
        <f t="shared" si="5"/>
        <v>6</v>
      </c>
      <c r="AC27" s="36">
        <f t="shared" si="16"/>
        <v>0.1</v>
      </c>
      <c r="AD27" s="3">
        <f>SUM(6.42*10000*0.02*AB27^2*AA27/13^5)</f>
        <v>4</v>
      </c>
      <c r="AE27" s="23">
        <f t="shared" si="6"/>
        <v>0</v>
      </c>
      <c r="AF27" s="4">
        <f>SUM(6.42*10000*0.02*AB27^2*0.003/10^5)</f>
        <v>0</v>
      </c>
      <c r="AG27" s="22">
        <f t="shared" si="8"/>
        <v>0</v>
      </c>
      <c r="AH27" s="4">
        <f>SUM(6.42*10000*0.02*AB27^2*0.0044/10^5)</f>
        <v>0</v>
      </c>
      <c r="AI27" s="22">
        <f t="shared" si="10"/>
        <v>0</v>
      </c>
      <c r="AJ27" s="7"/>
      <c r="AK27" s="24">
        <f>SUM(AE27+AG27+AI27)</f>
        <v>0</v>
      </c>
      <c r="AL27" s="5">
        <v>0.1327</v>
      </c>
      <c r="AM27" s="4">
        <f>SUM(AA27*AL27)</f>
        <v>4.25</v>
      </c>
      <c r="AN27" s="8"/>
      <c r="AO27" s="8"/>
    </row>
    <row r="28" spans="17:39" ht="13.5">
      <c r="Q28" s="11"/>
      <c r="R28" s="11"/>
      <c r="S28" s="11"/>
      <c r="Z28" s="21"/>
      <c r="AA28" s="33">
        <f>SUM(AA16:AA27)</f>
        <v>701.45</v>
      </c>
      <c r="AB28" s="21">
        <f>SUM(AB16:AB27)</f>
        <v>135</v>
      </c>
      <c r="AC28" s="34">
        <f t="shared" si="16"/>
        <v>2.25</v>
      </c>
      <c r="AD28" s="3">
        <f>SUM(AD16:AD27)</f>
        <v>371</v>
      </c>
      <c r="AE28" s="23">
        <f t="shared" si="6"/>
        <v>37</v>
      </c>
      <c r="AF28" s="4">
        <f>SUM(6.42*10000*0.02*AB28^2*0.003/10^5)</f>
        <v>0.7</v>
      </c>
      <c r="AG28" s="22">
        <f>SUM(AG16:AG27)</f>
        <v>6</v>
      </c>
      <c r="AH28" s="4">
        <f>SUM(6.42*10000*0.02*AB28^2*0.0044/10^5)</f>
        <v>1.03</v>
      </c>
      <c r="AI28" s="22">
        <f>SUM(AH28*100)</f>
        <v>103</v>
      </c>
      <c r="AK28" s="24">
        <f>SUM(AE28+AG28+AI28)</f>
        <v>146</v>
      </c>
      <c r="AL28" s="5">
        <v>0.1327</v>
      </c>
      <c r="AM28" s="4">
        <f>SUM(AA28*AL28)</f>
        <v>93.08</v>
      </c>
    </row>
    <row r="29" ht="12.75">
      <c r="AB29" s="21"/>
    </row>
    <row r="30" spans="17:28" ht="12.75">
      <c r="Q30" s="21"/>
      <c r="R30" s="21"/>
      <c r="S30" s="21"/>
      <c r="AB30" s="21"/>
    </row>
    <row r="31" ht="12.75">
      <c r="AB31" s="21"/>
    </row>
    <row r="32" spans="17:28" ht="12.75">
      <c r="Q32" s="21"/>
      <c r="R32" s="21"/>
      <c r="S32" s="21"/>
      <c r="AB32" s="21"/>
    </row>
    <row r="33" ht="12.75">
      <c r="AB33" s="21"/>
    </row>
    <row r="34" spans="17:29" ht="13.5">
      <c r="Q34" s="10"/>
      <c r="R34" s="10"/>
      <c r="S34" s="10"/>
      <c r="AB34" s="10"/>
      <c r="AC34" s="38"/>
    </row>
    <row r="35" ht="12.75">
      <c r="AB35" s="21"/>
    </row>
    <row r="36" spans="17:28" ht="12.75">
      <c r="Q36" s="21"/>
      <c r="R36" s="21"/>
      <c r="S36" s="21"/>
      <c r="AB36" s="21"/>
    </row>
    <row r="37" ht="12.75">
      <c r="AB37" s="21"/>
    </row>
  </sheetData>
  <printOptions gridLines="1" horizontalCentered="1"/>
  <pageMargins left="0" right="0" top="0.6692913385826772" bottom="0.6692913385826772" header="0.6692913385826772" footer="0.6692913385826772"/>
  <pageSetup horizontalDpi="180" verticalDpi="180" orientation="landscape" paperSize="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Ingenieurbüro Freese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Freese</dc:creator>
  <cp:keywords/>
  <dc:description/>
  <cp:lastModifiedBy>dschroeder</cp:lastModifiedBy>
  <cp:lastPrinted>2003-07-31T10:14:04Z</cp:lastPrinted>
  <dcterms:created xsi:type="dcterms:W3CDTF">1996-03-17T11:58:49Z</dcterms:created>
  <dcterms:modified xsi:type="dcterms:W3CDTF">2005-10-26T12:50:55Z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1749720092</vt:i4>
  </property>
  <property fmtid="{D5CDD505-2E9C-101B-9397-08002B2CF9AE}" pid="3" name="_EmailSubject">
    <vt:lpwstr>375-Fußb-H-Berechn-mod.xls</vt:lpwstr>
  </property>
  <property fmtid="{D5CDD505-2E9C-101B-9397-08002B2CF9AE}" pid="4" name="_AuthorEmail">
    <vt:lpwstr>dschroeder@oekodata.de</vt:lpwstr>
  </property>
  <property fmtid="{D5CDD505-2E9C-101B-9397-08002B2CF9AE}" pid="5" name="_AuthorEmailDisplayName">
    <vt:lpwstr>Dieter Schröder</vt:lpwstr>
  </property>
  <property fmtid="{D5CDD505-2E9C-101B-9397-08002B2CF9AE}" pid="6" name="_PreviousAdHocReviewCycleID">
    <vt:i4>-304917836</vt:i4>
  </property>
</Properties>
</file>